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codeName="ThisWorkbook"/>
  <xr:revisionPtr revIDLastSave="0" documentId="13_ncr:1_{0D5B1E40-AA2A-459F-B6A2-DC0AF2841F80}" xr6:coauthVersionLast="36" xr6:coauthVersionMax="36" xr10:uidLastSave="{00000000-0000-0000-0000-000000000000}"/>
  <workbookProtection workbookAlgorithmName="SHA-512" workbookHashValue="n/3a+KJ+m3plTeN2apdIAAE6dguViqWdWIUYxxRR6oRLKEu4XbM04VRPvgO89Qw9RP26S8WH/dYakXRh/cMVvQ==" workbookSaltValue="feB4bDOm4fbzPbi2Q61EAg==" workbookSpinCount="100000" lockStructure="1"/>
  <bookViews>
    <workbookView xWindow="0" yWindow="0" windowWidth="19200" windowHeight="5780" tabRatio="875" firstSheet="3" activeTab="3" xr2:uid="{00000000-000D-0000-FFFF-FFFF00000000}"/>
  </bookViews>
  <sheets>
    <sheet name="テーブル" sheetId="6" state="hidden" r:id="rId1"/>
    <sheet name="リスト" sheetId="49" state="hidden" r:id="rId2"/>
    <sheet name="計上" sheetId="23" state="hidden" r:id="rId3"/>
    <sheet name="はじめに入力してください" sheetId="5" r:id="rId4"/>
    <sheet name="協議書" sheetId="1" state="hidden" r:id="rId5"/>
    <sheet name="別紙１" sheetId="2" state="hidden" r:id="rId6"/>
    <sheet name="病床状況" sheetId="26" state="hidden" r:id="rId7"/>
    <sheet name="表紙" sheetId="50" r:id="rId8"/>
    <sheet name="振込先情報" sheetId="52" r:id="rId9"/>
    <sheet name="請求書" sheetId="51" state="hidden" r:id="rId10"/>
    <sheet name="経費書" sheetId="25" r:id="rId11"/>
    <sheet name="額内訳書" sheetId="24" r:id="rId12"/>
    <sheet name="歳入歳出抄本" sheetId="53" r:id="rId13"/>
    <sheet name="明細→" sheetId="3" r:id="rId14"/>
    <sheet name="初度設備" sheetId="4" state="hidden" r:id="rId15"/>
    <sheet name="人工呼吸器" sheetId="36" state="hidden" r:id="rId16"/>
    <sheet name="個人防護具" sheetId="22" r:id="rId17"/>
    <sheet name="簡易陰圧装置" sheetId="37" state="hidden" r:id="rId18"/>
    <sheet name="簡易ベッド" sheetId="39" state="hidden" r:id="rId19"/>
    <sheet name="体外式膜型人工肺" sheetId="38" state="hidden" r:id="rId20"/>
    <sheet name="簡易病室" sheetId="40" state="hidden" r:id="rId21"/>
    <sheet name="紫外線照射装置" sheetId="41" state="hidden" r:id="rId22"/>
    <sheet name="超音波画像診断装置" sheetId="42" state="hidden" r:id="rId23"/>
    <sheet name="血液浄化装置" sheetId="43" state="hidden" r:id="rId24"/>
    <sheet name="気管支鏡" sheetId="44" state="hidden" r:id="rId25"/>
    <sheet name="CT撮影装置" sheetId="45" state="hidden" r:id="rId26"/>
    <sheet name="生体情報モニタ" sheetId="46" state="hidden" r:id="rId27"/>
    <sheet name="分娩監視装置" sheetId="47" state="hidden" r:id="rId28"/>
    <sheet name="新生児モニタ" sheetId="48" state="hidden" r:id="rId29"/>
  </sheets>
  <externalReferences>
    <externalReference r:id="rId30"/>
  </externalReferences>
  <definedNames>
    <definedName name="_xlnm.Print_Area" localSheetId="25">CT撮影装置!$A$1:$M$54</definedName>
    <definedName name="_xlnm.Print_Area" localSheetId="3">はじめに入力してください!$B$1:$AC$62</definedName>
    <definedName name="_xlnm.Print_Area" localSheetId="11">額内訳書!$A$1:$R$31</definedName>
    <definedName name="_xlnm.Print_Area" localSheetId="18">簡易ベッド!$A$1:$M$75</definedName>
    <definedName name="_xlnm.Print_Area" localSheetId="17">簡易陰圧装置!$A$1:$M$54</definedName>
    <definedName name="_xlnm.Print_Area" localSheetId="20">簡易病室!$A$1:$M$54</definedName>
    <definedName name="_xlnm.Print_Area" localSheetId="24">気管支鏡!$A$1:$M$54</definedName>
    <definedName name="_xlnm.Print_Area" localSheetId="4">協議書!$A$2:$AJ$47</definedName>
    <definedName name="_xlnm.Print_Area" localSheetId="10">経費書!$A$1:$M$43</definedName>
    <definedName name="_xlnm.Print_Area" localSheetId="23">血液浄化装置!$A$1:$M$54</definedName>
    <definedName name="_xlnm.Print_Area" localSheetId="16">個人防護具!$A$1:$M$55</definedName>
    <definedName name="_xlnm.Print_Area" localSheetId="12">歳入歳出抄本!$A$1:$G$44</definedName>
    <definedName name="_xlnm.Print_Area" localSheetId="21">紫外線照射装置!$A$1:$M$75</definedName>
    <definedName name="_xlnm.Print_Area" localSheetId="14">初度設備!$A$1:$M$54</definedName>
    <definedName name="_xlnm.Print_Area" localSheetId="8">振込先情報!$A$2:$AJ$57</definedName>
    <definedName name="_xlnm.Print_Area" localSheetId="28">新生児モニタ!$A$1:$M$54</definedName>
    <definedName name="_xlnm.Print_Area" localSheetId="15">人工呼吸器!$A$1:$M$54</definedName>
    <definedName name="_xlnm.Print_Area" localSheetId="26">生体情報モニタ!$A$1:$M$54</definedName>
    <definedName name="_xlnm.Print_Area" localSheetId="9">請求書!$A$1:$I$28</definedName>
    <definedName name="_xlnm.Print_Area" localSheetId="19">体外式膜型人工肺!$A$1:$M$75</definedName>
    <definedName name="_xlnm.Print_Area" localSheetId="22">超音波画像診断装置!$A$1:$M$54</definedName>
    <definedName name="_xlnm.Print_Area" localSheetId="7">表紙!$A$2:$S$45</definedName>
    <definedName name="_xlnm.Print_Area" localSheetId="6">病床状況!$A$1:$U$43</definedName>
    <definedName name="_xlnm.Print_Area" localSheetId="27">分娩監視装置!$A$1:$M$54</definedName>
    <definedName name="_xlnm.Print_Area" localSheetId="5">別紙１!$A$2:$AJ$25</definedName>
    <definedName name="_xlnm.Print_Titles" localSheetId="11">額内訳書!$2:$5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22" l="1"/>
  <c r="K16" i="22" l="1"/>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F7" i="24"/>
  <c r="F10" i="24"/>
  <c r="F11" i="24"/>
  <c r="E11" i="24"/>
  <c r="L45" i="50"/>
  <c r="L44" i="50"/>
  <c r="L43" i="50"/>
  <c r="L42" i="50"/>
  <c r="N4" i="50" l="1"/>
  <c r="G30" i="52"/>
  <c r="M29" i="52"/>
  <c r="L29" i="52"/>
  <c r="K29" i="52"/>
  <c r="J29" i="52"/>
  <c r="I29" i="52"/>
  <c r="H29" i="52"/>
  <c r="G29" i="52"/>
  <c r="G28" i="52"/>
  <c r="G26" i="52"/>
  <c r="G25" i="52"/>
  <c r="I24" i="52"/>
  <c r="H24" i="52"/>
  <c r="G24" i="52"/>
  <c r="J23" i="52"/>
  <c r="I23" i="52"/>
  <c r="H23" i="52"/>
  <c r="G23" i="52"/>
  <c r="AQ20" i="24"/>
  <c r="AQ21" i="24"/>
  <c r="AQ19" i="24"/>
  <c r="AC2" i="1" l="1"/>
  <c r="B11" i="26"/>
  <c r="J42" i="26"/>
  <c r="K42" i="26"/>
  <c r="L42" i="26"/>
  <c r="M42" i="26"/>
  <c r="P11" i="26"/>
  <c r="P12" i="26"/>
  <c r="P13" i="26"/>
  <c r="P14" i="26"/>
  <c r="W31" i="48" l="1"/>
  <c r="W32" i="48"/>
  <c r="W33" i="48"/>
  <c r="W34" i="48"/>
  <c r="W35" i="48"/>
  <c r="W36" i="48"/>
  <c r="W37" i="48"/>
  <c r="W38" i="48"/>
  <c r="W39" i="48"/>
  <c r="W40" i="48"/>
  <c r="W41" i="48"/>
  <c r="W42" i="48"/>
  <c r="W43" i="48"/>
  <c r="W44" i="48"/>
  <c r="W45" i="48"/>
  <c r="W46" i="48"/>
  <c r="W47" i="48"/>
  <c r="W48" i="48"/>
  <c r="W49" i="48"/>
  <c r="W50" i="48"/>
  <c r="W51" i="48"/>
  <c r="W52" i="48"/>
  <c r="W53" i="48"/>
  <c r="W54" i="48"/>
  <c r="W55" i="48"/>
  <c r="W56" i="48"/>
  <c r="W57" i="48"/>
  <c r="W58" i="48"/>
  <c r="W59" i="48"/>
  <c r="W60" i="48"/>
  <c r="W61" i="48"/>
  <c r="W62" i="48"/>
  <c r="W63" i="48"/>
  <c r="W64" i="48"/>
  <c r="W65" i="48"/>
  <c r="W66" i="48"/>
  <c r="W67" i="48"/>
  <c r="W68" i="48"/>
  <c r="W69" i="48"/>
  <c r="W70" i="48"/>
  <c r="W71" i="48"/>
  <c r="W72" i="48"/>
  <c r="W73" i="48"/>
  <c r="W74" i="48"/>
  <c r="W30" i="48"/>
  <c r="W31" i="47"/>
  <c r="W32" i="47"/>
  <c r="W33" i="47"/>
  <c r="W34" i="47"/>
  <c r="W35" i="47"/>
  <c r="W36" i="47"/>
  <c r="W37" i="47"/>
  <c r="W38" i="47"/>
  <c r="W39" i="47"/>
  <c r="W40" i="47"/>
  <c r="W41" i="47"/>
  <c r="W42" i="47"/>
  <c r="W43" i="47"/>
  <c r="W44" i="47"/>
  <c r="W45" i="47"/>
  <c r="W46" i="47"/>
  <c r="W47" i="47"/>
  <c r="W48" i="47"/>
  <c r="W49" i="47"/>
  <c r="W50" i="47"/>
  <c r="W51" i="47"/>
  <c r="W52" i="47"/>
  <c r="W53" i="47"/>
  <c r="W54" i="47"/>
  <c r="W55" i="47"/>
  <c r="W56" i="47"/>
  <c r="W57" i="47"/>
  <c r="W58" i="47"/>
  <c r="W59" i="47"/>
  <c r="W60" i="47"/>
  <c r="W61" i="47"/>
  <c r="W62" i="47"/>
  <c r="W63" i="47"/>
  <c r="W64" i="47"/>
  <c r="W65" i="47"/>
  <c r="W66" i="47"/>
  <c r="W67" i="47"/>
  <c r="W68" i="47"/>
  <c r="W69" i="47"/>
  <c r="W70" i="47"/>
  <c r="W71" i="47"/>
  <c r="W72" i="47"/>
  <c r="W73" i="47"/>
  <c r="W74" i="47"/>
  <c r="W30" i="47"/>
  <c r="W31" i="46"/>
  <c r="W32" i="46"/>
  <c r="W33" i="46"/>
  <c r="W34" i="46"/>
  <c r="W35" i="46"/>
  <c r="W36" i="46"/>
  <c r="W37" i="46"/>
  <c r="W38" i="46"/>
  <c r="W39" i="46"/>
  <c r="W40" i="46"/>
  <c r="W41" i="46"/>
  <c r="W42" i="46"/>
  <c r="W43" i="46"/>
  <c r="W44" i="46"/>
  <c r="W45" i="46"/>
  <c r="W46" i="46"/>
  <c r="W47" i="46"/>
  <c r="W48" i="46"/>
  <c r="W49" i="46"/>
  <c r="W50" i="46"/>
  <c r="W51" i="46"/>
  <c r="W52" i="46"/>
  <c r="W53" i="46"/>
  <c r="W54" i="46"/>
  <c r="W55" i="46"/>
  <c r="W56" i="46"/>
  <c r="W57" i="46"/>
  <c r="W58" i="46"/>
  <c r="W59" i="46"/>
  <c r="W60" i="46"/>
  <c r="W61" i="46"/>
  <c r="W62" i="46"/>
  <c r="W63" i="46"/>
  <c r="W64" i="46"/>
  <c r="W65" i="46"/>
  <c r="W66" i="46"/>
  <c r="W67" i="46"/>
  <c r="W68" i="46"/>
  <c r="W69" i="46"/>
  <c r="W70" i="46"/>
  <c r="W71" i="46"/>
  <c r="W72" i="46"/>
  <c r="W73" i="46"/>
  <c r="W74" i="46"/>
  <c r="W30" i="46"/>
  <c r="W31" i="45"/>
  <c r="W32" i="45"/>
  <c r="W33" i="45"/>
  <c r="W34" i="45"/>
  <c r="W35" i="45"/>
  <c r="W36" i="45"/>
  <c r="W37" i="45"/>
  <c r="W38" i="45"/>
  <c r="W39" i="45"/>
  <c r="W40" i="45"/>
  <c r="W41" i="45"/>
  <c r="W42" i="45"/>
  <c r="W43" i="45"/>
  <c r="W44" i="45"/>
  <c r="W45" i="45"/>
  <c r="W46" i="45"/>
  <c r="W47" i="45"/>
  <c r="W48" i="45"/>
  <c r="W49" i="45"/>
  <c r="W50" i="45"/>
  <c r="W51" i="45"/>
  <c r="W52" i="45"/>
  <c r="W53" i="45"/>
  <c r="W54" i="45"/>
  <c r="W55" i="45"/>
  <c r="W56" i="45"/>
  <c r="W57" i="45"/>
  <c r="W58" i="45"/>
  <c r="W59" i="45"/>
  <c r="W60" i="45"/>
  <c r="W61" i="45"/>
  <c r="W62" i="45"/>
  <c r="W63" i="45"/>
  <c r="W64" i="45"/>
  <c r="W65" i="45"/>
  <c r="W66" i="45"/>
  <c r="W67" i="45"/>
  <c r="W68" i="45"/>
  <c r="W69" i="45"/>
  <c r="W70" i="45"/>
  <c r="W71" i="45"/>
  <c r="W72" i="45"/>
  <c r="W73" i="45"/>
  <c r="W74" i="45"/>
  <c r="W30" i="45"/>
  <c r="W31" i="44"/>
  <c r="W32" i="44"/>
  <c r="W33" i="44"/>
  <c r="W34" i="44"/>
  <c r="W35" i="44"/>
  <c r="W36" i="44"/>
  <c r="W37" i="44"/>
  <c r="W38" i="44"/>
  <c r="W39" i="44"/>
  <c r="W40" i="44"/>
  <c r="W41" i="44"/>
  <c r="W42" i="44"/>
  <c r="W43" i="44"/>
  <c r="W44" i="44"/>
  <c r="W45" i="44"/>
  <c r="W46" i="44"/>
  <c r="W47" i="44"/>
  <c r="W48" i="44"/>
  <c r="W49" i="44"/>
  <c r="W50" i="44"/>
  <c r="W51" i="44"/>
  <c r="W52" i="44"/>
  <c r="W53" i="44"/>
  <c r="W54" i="44"/>
  <c r="W55" i="44"/>
  <c r="W56" i="44"/>
  <c r="W57" i="44"/>
  <c r="W58" i="44"/>
  <c r="W59" i="44"/>
  <c r="W60" i="44"/>
  <c r="W61" i="44"/>
  <c r="W62" i="44"/>
  <c r="W63" i="44"/>
  <c r="W64" i="44"/>
  <c r="W65" i="44"/>
  <c r="W66" i="44"/>
  <c r="W67" i="44"/>
  <c r="W68" i="44"/>
  <c r="W69" i="44"/>
  <c r="W70" i="44"/>
  <c r="W71" i="44"/>
  <c r="W72" i="44"/>
  <c r="W73" i="44"/>
  <c r="W74" i="44"/>
  <c r="W30" i="44"/>
  <c r="W31" i="43"/>
  <c r="W32" i="43"/>
  <c r="W33" i="43"/>
  <c r="W34" i="43"/>
  <c r="W35" i="43"/>
  <c r="W36" i="43"/>
  <c r="W37" i="43"/>
  <c r="W38" i="43"/>
  <c r="W39" i="43"/>
  <c r="W40" i="43"/>
  <c r="W41" i="43"/>
  <c r="W42" i="43"/>
  <c r="W43" i="43"/>
  <c r="W44" i="43"/>
  <c r="W45" i="43"/>
  <c r="W46" i="43"/>
  <c r="W47" i="43"/>
  <c r="W48" i="43"/>
  <c r="W49" i="43"/>
  <c r="W50" i="43"/>
  <c r="W51" i="43"/>
  <c r="W52" i="43"/>
  <c r="W53" i="43"/>
  <c r="W54" i="43"/>
  <c r="W55" i="43"/>
  <c r="W56" i="43"/>
  <c r="W57" i="43"/>
  <c r="W58" i="43"/>
  <c r="W59" i="43"/>
  <c r="W60" i="43"/>
  <c r="W61" i="43"/>
  <c r="W62" i="43"/>
  <c r="W63" i="43"/>
  <c r="W64" i="43"/>
  <c r="W65" i="43"/>
  <c r="W66" i="43"/>
  <c r="W67" i="43"/>
  <c r="W68" i="43"/>
  <c r="W69" i="43"/>
  <c r="W70" i="43"/>
  <c r="W71" i="43"/>
  <c r="W72" i="43"/>
  <c r="W73" i="43"/>
  <c r="W74" i="43"/>
  <c r="W30" i="43"/>
  <c r="W31" i="42"/>
  <c r="W32" i="42"/>
  <c r="W33" i="42"/>
  <c r="W34" i="42"/>
  <c r="W35" i="42"/>
  <c r="W36" i="42"/>
  <c r="W37" i="42"/>
  <c r="W38" i="42"/>
  <c r="W39" i="42"/>
  <c r="W40" i="42"/>
  <c r="W41" i="42"/>
  <c r="W42" i="42"/>
  <c r="W43" i="42"/>
  <c r="W44" i="42"/>
  <c r="W45" i="42"/>
  <c r="W46" i="42"/>
  <c r="W47" i="42"/>
  <c r="W48" i="42"/>
  <c r="W49" i="42"/>
  <c r="W50" i="42"/>
  <c r="W51" i="42"/>
  <c r="W52" i="42"/>
  <c r="W53" i="42"/>
  <c r="W54" i="42"/>
  <c r="W55" i="42"/>
  <c r="W56" i="42"/>
  <c r="W57" i="42"/>
  <c r="W58" i="42"/>
  <c r="W59" i="42"/>
  <c r="W60" i="42"/>
  <c r="W61" i="42"/>
  <c r="W62" i="42"/>
  <c r="W63" i="42"/>
  <c r="W64" i="42"/>
  <c r="W65" i="42"/>
  <c r="W66" i="42"/>
  <c r="W67" i="42"/>
  <c r="W68" i="42"/>
  <c r="W69" i="42"/>
  <c r="W70" i="42"/>
  <c r="W71" i="42"/>
  <c r="W72" i="42"/>
  <c r="W73" i="42"/>
  <c r="W74" i="42"/>
  <c r="W30" i="42"/>
  <c r="W31" i="41"/>
  <c r="W32" i="41"/>
  <c r="W33" i="41"/>
  <c r="W34" i="41"/>
  <c r="W35" i="41"/>
  <c r="W36" i="41"/>
  <c r="W37" i="41"/>
  <c r="W38" i="41"/>
  <c r="W39" i="41"/>
  <c r="W40" i="41"/>
  <c r="W41" i="41"/>
  <c r="W42" i="41"/>
  <c r="W43" i="41"/>
  <c r="W44" i="41"/>
  <c r="W45" i="41"/>
  <c r="W46" i="41"/>
  <c r="W47" i="41"/>
  <c r="W48" i="41"/>
  <c r="W49" i="41"/>
  <c r="W50" i="41"/>
  <c r="W51" i="41"/>
  <c r="W52" i="41"/>
  <c r="W53" i="41"/>
  <c r="W54" i="41"/>
  <c r="W55" i="41"/>
  <c r="W56" i="41"/>
  <c r="W57" i="41"/>
  <c r="W58" i="41"/>
  <c r="W59" i="41"/>
  <c r="W60" i="41"/>
  <c r="W61" i="41"/>
  <c r="W62" i="41"/>
  <c r="W63" i="41"/>
  <c r="W64" i="41"/>
  <c r="W65" i="41"/>
  <c r="W66" i="41"/>
  <c r="W67" i="41"/>
  <c r="W68" i="41"/>
  <c r="W69" i="41"/>
  <c r="W70" i="41"/>
  <c r="W71" i="41"/>
  <c r="W72" i="41"/>
  <c r="W73" i="41"/>
  <c r="W74" i="41"/>
  <c r="W30" i="41"/>
  <c r="W31" i="40"/>
  <c r="W32" i="40"/>
  <c r="W33" i="40"/>
  <c r="W34" i="40"/>
  <c r="W35" i="40"/>
  <c r="W36" i="40"/>
  <c r="W37" i="40"/>
  <c r="W38" i="40"/>
  <c r="W39" i="40"/>
  <c r="W40" i="40"/>
  <c r="W41" i="40"/>
  <c r="W42" i="40"/>
  <c r="W43" i="40"/>
  <c r="W44" i="40"/>
  <c r="W45" i="40"/>
  <c r="W46" i="40"/>
  <c r="W47" i="40"/>
  <c r="W48" i="40"/>
  <c r="W49" i="40"/>
  <c r="W50" i="40"/>
  <c r="W51" i="40"/>
  <c r="W52" i="40"/>
  <c r="W53" i="40"/>
  <c r="W54" i="40"/>
  <c r="W55" i="40"/>
  <c r="W56" i="40"/>
  <c r="W57" i="40"/>
  <c r="W58" i="40"/>
  <c r="W59" i="40"/>
  <c r="W60" i="40"/>
  <c r="W61" i="40"/>
  <c r="W62" i="40"/>
  <c r="W63" i="40"/>
  <c r="W64" i="40"/>
  <c r="W65" i="40"/>
  <c r="W66" i="40"/>
  <c r="W67" i="40"/>
  <c r="W68" i="40"/>
  <c r="W69" i="40"/>
  <c r="W70" i="40"/>
  <c r="W71" i="40"/>
  <c r="W72" i="40"/>
  <c r="W73" i="40"/>
  <c r="W74" i="40"/>
  <c r="W30" i="40"/>
  <c r="W31" i="38"/>
  <c r="W32" i="38"/>
  <c r="W30" i="38"/>
  <c r="W31" i="39"/>
  <c r="W32" i="39"/>
  <c r="W33" i="39"/>
  <c r="W30" i="39"/>
  <c r="W31" i="37"/>
  <c r="W32" i="37"/>
  <c r="W33" i="37"/>
  <c r="W34" i="37"/>
  <c r="W35" i="37"/>
  <c r="W36" i="37"/>
  <c r="W37" i="37"/>
  <c r="W38" i="37"/>
  <c r="W39" i="37"/>
  <c r="W40" i="37"/>
  <c r="W41" i="37"/>
  <c r="W42" i="37"/>
  <c r="W43" i="37"/>
  <c r="W44" i="37"/>
  <c r="W45" i="37"/>
  <c r="W46" i="37"/>
  <c r="W47" i="37"/>
  <c r="W48" i="37"/>
  <c r="W49" i="37"/>
  <c r="W50" i="37"/>
  <c r="W51" i="37"/>
  <c r="W52" i="37"/>
  <c r="W53" i="37"/>
  <c r="W54" i="37"/>
  <c r="W55" i="37"/>
  <c r="W56" i="37"/>
  <c r="W57" i="37"/>
  <c r="W58" i="37"/>
  <c r="W59" i="37"/>
  <c r="W60" i="37"/>
  <c r="W61" i="37"/>
  <c r="W62" i="37"/>
  <c r="W63" i="37"/>
  <c r="W64" i="37"/>
  <c r="W65" i="37"/>
  <c r="W66" i="37"/>
  <c r="W67" i="37"/>
  <c r="W68" i="37"/>
  <c r="W69" i="37"/>
  <c r="W70" i="37"/>
  <c r="W71" i="37"/>
  <c r="W72" i="37"/>
  <c r="W73" i="37"/>
  <c r="W74" i="37"/>
  <c r="W30" i="37"/>
  <c r="W74" i="36"/>
  <c r="W31" i="36"/>
  <c r="W32" i="36"/>
  <c r="W33" i="36"/>
  <c r="W34" i="36"/>
  <c r="W35" i="36"/>
  <c r="W36" i="36"/>
  <c r="W37" i="36"/>
  <c r="W38" i="36"/>
  <c r="W39" i="36"/>
  <c r="W40" i="36"/>
  <c r="W41" i="36"/>
  <c r="W42" i="36"/>
  <c r="W43" i="36"/>
  <c r="W44" i="36"/>
  <c r="W45" i="36"/>
  <c r="W46" i="36"/>
  <c r="W47" i="36"/>
  <c r="W48" i="36"/>
  <c r="W49" i="36"/>
  <c r="W50" i="36"/>
  <c r="W51" i="36"/>
  <c r="W52" i="36"/>
  <c r="W53" i="36"/>
  <c r="W54" i="36"/>
  <c r="W55" i="36"/>
  <c r="W56" i="36"/>
  <c r="W57" i="36"/>
  <c r="W58" i="36"/>
  <c r="W59" i="36"/>
  <c r="W60" i="36"/>
  <c r="W61" i="36"/>
  <c r="W62" i="36"/>
  <c r="W63" i="36"/>
  <c r="W64" i="36"/>
  <c r="W65" i="36"/>
  <c r="W66" i="36"/>
  <c r="W67" i="36"/>
  <c r="W68" i="36"/>
  <c r="W69" i="36"/>
  <c r="W70" i="36"/>
  <c r="W71" i="36"/>
  <c r="W72" i="36"/>
  <c r="W73" i="36"/>
  <c r="W30" i="36"/>
  <c r="W30" i="4"/>
  <c r="Y9" i="26"/>
  <c r="Q42" i="26" l="1"/>
  <c r="AE9" i="26" s="1"/>
  <c r="I11" i="26"/>
  <c r="B12" i="26"/>
  <c r="AE10" i="26" l="1"/>
  <c r="P25" i="5"/>
  <c r="B3" i="50"/>
  <c r="A2" i="53"/>
  <c r="A1" i="53"/>
  <c r="AD8" i="53"/>
  <c r="AC8" i="53"/>
  <c r="AB8" i="53"/>
  <c r="AA8" i="53"/>
  <c r="Z8" i="53"/>
  <c r="Y8" i="53"/>
  <c r="AD6" i="53"/>
  <c r="AC6" i="53"/>
  <c r="AB6" i="53"/>
  <c r="AA6" i="53"/>
  <c r="Z6" i="53"/>
  <c r="Y6" i="53"/>
  <c r="AF6" i="53" l="1"/>
  <c r="Y11" i="53"/>
  <c r="AV30" i="52" l="1"/>
  <c r="AY30" i="52" s="1"/>
  <c r="AV28" i="52"/>
  <c r="AY28" i="52" s="1"/>
  <c r="AV26" i="52"/>
  <c r="AY26" i="52" s="1"/>
  <c r="AV25" i="52"/>
  <c r="AY25" i="52" s="1"/>
  <c r="AV31" i="52"/>
  <c r="AY31" i="52" s="1"/>
  <c r="D24" i="51"/>
  <c r="D23" i="51"/>
  <c r="D22" i="51"/>
  <c r="M33" i="51"/>
  <c r="L33" i="51"/>
  <c r="B35" i="50"/>
  <c r="C34" i="50"/>
  <c r="B33" i="50"/>
  <c r="C32" i="50"/>
  <c r="C31" i="50"/>
  <c r="C30" i="50"/>
  <c r="B29" i="50"/>
  <c r="B28" i="50"/>
  <c r="B27" i="50"/>
  <c r="B26" i="50"/>
  <c r="B25" i="50"/>
  <c r="G21" i="50"/>
  <c r="B23" i="50"/>
  <c r="B22" i="50"/>
  <c r="B21" i="50"/>
  <c r="B12" i="50"/>
  <c r="L10" i="50"/>
  <c r="F9" i="51" s="1"/>
  <c r="L8" i="50"/>
  <c r="S9" i="52" s="1"/>
  <c r="B20" i="50"/>
  <c r="B19" i="50"/>
  <c r="B14" i="50"/>
  <c r="W17" i="52"/>
  <c r="W15" i="52"/>
  <c r="W13" i="52"/>
  <c r="AE20" i="5"/>
  <c r="K1" i="47" l="1"/>
  <c r="G1" i="53"/>
  <c r="O1" i="24"/>
  <c r="K1" i="39"/>
  <c r="K1" i="25"/>
  <c r="K1" i="40"/>
  <c r="K1" i="48"/>
  <c r="K1" i="4"/>
  <c r="K1" i="42"/>
  <c r="K1" i="22"/>
  <c r="K1" i="44"/>
  <c r="G1" i="51"/>
  <c r="K1" i="46"/>
  <c r="R2" i="50"/>
  <c r="K1" i="36"/>
  <c r="K1" i="37"/>
  <c r="K1" i="38"/>
  <c r="K1" i="41"/>
  <c r="K1" i="43"/>
  <c r="K1" i="45"/>
  <c r="AV23" i="52"/>
  <c r="AY23" i="52" s="1"/>
  <c r="AV24" i="52"/>
  <c r="AW24" i="52" s="1"/>
  <c r="AV29" i="52"/>
  <c r="AW29" i="52" s="1"/>
  <c r="F6" i="51"/>
  <c r="S11" i="52"/>
  <c r="D40" i="53"/>
  <c r="AW28" i="52"/>
  <c r="AW26" i="52"/>
  <c r="AW31" i="52"/>
  <c r="AW25" i="52"/>
  <c r="AW30" i="52"/>
  <c r="AV22" i="52" l="1"/>
  <c r="AY29" i="52"/>
  <c r="AY24" i="52"/>
  <c r="AW23" i="52"/>
  <c r="AW22" i="52"/>
  <c r="AY32" i="52" l="1"/>
  <c r="L4" i="24"/>
  <c r="H4" i="24"/>
  <c r="B2" i="24"/>
  <c r="B1" i="24"/>
  <c r="L25" i="25"/>
  <c r="L7" i="25"/>
  <c r="G5" i="25"/>
  <c r="E5" i="25"/>
  <c r="I4" i="25"/>
  <c r="B2" i="25"/>
  <c r="B1" i="25"/>
  <c r="K38" i="25"/>
  <c r="J38" i="25"/>
  <c r="I38" i="25"/>
  <c r="H38" i="25"/>
  <c r="G38" i="25"/>
  <c r="F38" i="25"/>
  <c r="E38" i="25"/>
  <c r="D38" i="25"/>
  <c r="K36" i="25"/>
  <c r="J36" i="25"/>
  <c r="I36" i="25"/>
  <c r="H36" i="25"/>
  <c r="G36" i="25"/>
  <c r="F36" i="25"/>
  <c r="E36" i="25"/>
  <c r="D36" i="25"/>
  <c r="K34" i="25"/>
  <c r="J34" i="25"/>
  <c r="I34" i="25"/>
  <c r="H34" i="25"/>
  <c r="G34" i="25"/>
  <c r="F34" i="25"/>
  <c r="E34" i="25"/>
  <c r="D34" i="25"/>
  <c r="K32" i="25"/>
  <c r="J32" i="25"/>
  <c r="I32" i="25"/>
  <c r="H32" i="25"/>
  <c r="G32" i="25"/>
  <c r="F32" i="25"/>
  <c r="E32" i="25"/>
  <c r="D32" i="25"/>
  <c r="K30" i="25"/>
  <c r="J30" i="25"/>
  <c r="I30" i="25"/>
  <c r="H30" i="25"/>
  <c r="G30" i="25"/>
  <c r="F30" i="25"/>
  <c r="E30" i="25"/>
  <c r="D30" i="25"/>
  <c r="K28" i="25"/>
  <c r="J28" i="25"/>
  <c r="I28" i="25"/>
  <c r="H28" i="25"/>
  <c r="G28" i="25"/>
  <c r="F28" i="25"/>
  <c r="E28" i="25"/>
  <c r="D28" i="25"/>
  <c r="K26" i="25"/>
  <c r="J26" i="25"/>
  <c r="J40" i="25" s="1"/>
  <c r="I26" i="25"/>
  <c r="H26" i="25"/>
  <c r="G26" i="25"/>
  <c r="G40" i="25" s="1"/>
  <c r="F26" i="25"/>
  <c r="F40" i="25" s="1"/>
  <c r="E26" i="25"/>
  <c r="E40" i="25" s="1"/>
  <c r="D26" i="25"/>
  <c r="K40" i="25"/>
  <c r="I40" i="25"/>
  <c r="H40" i="25"/>
  <c r="D40" i="25"/>
  <c r="K22" i="25"/>
  <c r="J22" i="25"/>
  <c r="I22" i="25"/>
  <c r="H22" i="25"/>
  <c r="G22" i="25"/>
  <c r="F22" i="25"/>
  <c r="E22" i="25"/>
  <c r="D22" i="25"/>
  <c r="K20" i="25"/>
  <c r="J20" i="25"/>
  <c r="I20" i="25"/>
  <c r="H20" i="25"/>
  <c r="G20" i="25"/>
  <c r="F20" i="25"/>
  <c r="E20" i="25"/>
  <c r="D20" i="25"/>
  <c r="K18" i="25"/>
  <c r="J18" i="25"/>
  <c r="I18" i="25"/>
  <c r="H18" i="25"/>
  <c r="G18" i="25"/>
  <c r="F18" i="25"/>
  <c r="E18" i="25"/>
  <c r="D18" i="25"/>
  <c r="K16" i="25"/>
  <c r="J16" i="25"/>
  <c r="I16" i="25"/>
  <c r="H16" i="25"/>
  <c r="G16" i="25"/>
  <c r="F16" i="25"/>
  <c r="E16" i="25"/>
  <c r="D16" i="25"/>
  <c r="K14" i="25"/>
  <c r="J14" i="25"/>
  <c r="I14" i="25"/>
  <c r="H14" i="25"/>
  <c r="G14" i="25"/>
  <c r="F14" i="25"/>
  <c r="E14" i="25"/>
  <c r="D14" i="25"/>
  <c r="K12" i="25"/>
  <c r="J12" i="25"/>
  <c r="I12" i="25"/>
  <c r="H12" i="25"/>
  <c r="G12" i="25"/>
  <c r="F12" i="25"/>
  <c r="E12" i="25"/>
  <c r="D12" i="25"/>
  <c r="K10" i="25"/>
  <c r="J10" i="25"/>
  <c r="I10" i="25"/>
  <c r="H10" i="25"/>
  <c r="G10" i="25"/>
  <c r="F10" i="25"/>
  <c r="E10" i="25"/>
  <c r="D10" i="25"/>
  <c r="K8" i="25"/>
  <c r="K24" i="25" s="1"/>
  <c r="K42" i="25" s="1"/>
  <c r="J8" i="25"/>
  <c r="J24" i="25" s="1"/>
  <c r="I8" i="25"/>
  <c r="I24" i="25" s="1"/>
  <c r="H8" i="25"/>
  <c r="G8" i="25"/>
  <c r="G24" i="25" s="1"/>
  <c r="F8" i="25"/>
  <c r="F24" i="25" s="1"/>
  <c r="E8" i="25"/>
  <c r="E24" i="25" s="1"/>
  <c r="D8" i="25"/>
  <c r="D24" i="25" s="1"/>
  <c r="D42" i="25" s="1"/>
  <c r="E42" i="25" l="1"/>
  <c r="I42" i="25"/>
  <c r="F42" i="25"/>
  <c r="G42" i="25"/>
  <c r="J42" i="25"/>
  <c r="H24" i="25"/>
  <c r="H42" i="25" s="1"/>
  <c r="AQ12" i="24"/>
  <c r="AQ13" i="24"/>
  <c r="AS13" i="24" s="1"/>
  <c r="AQ14" i="24"/>
  <c r="AQ15" i="24"/>
  <c r="AS15" i="24" s="1"/>
  <c r="AQ16" i="24"/>
  <c r="AQ17" i="24"/>
  <c r="AS17" i="24" s="1"/>
  <c r="AS12" i="24"/>
  <c r="AS16" i="24"/>
  <c r="AQ11" i="24"/>
  <c r="E8" i="24"/>
  <c r="I8" i="24" s="1"/>
  <c r="AS11" i="24"/>
  <c r="AS14" i="24"/>
  <c r="AQ18" i="24"/>
  <c r="E21" i="24"/>
  <c r="I21" i="24" s="1"/>
  <c r="E20" i="24"/>
  <c r="I20" i="24" s="1"/>
  <c r="E19" i="24"/>
  <c r="E17" i="24"/>
  <c r="E16" i="24"/>
  <c r="F16" i="24" s="1"/>
  <c r="E15" i="24"/>
  <c r="I15" i="24" s="1"/>
  <c r="E10" i="24"/>
  <c r="I10" i="24" s="1"/>
  <c r="E14" i="24"/>
  <c r="I14" i="24" s="1"/>
  <c r="E13" i="24"/>
  <c r="I13" i="24" s="1"/>
  <c r="E12" i="24"/>
  <c r="I12" i="24" s="1"/>
  <c r="I11" i="24"/>
  <c r="Z22" i="48"/>
  <c r="AE2" i="48" s="1"/>
  <c r="AA74" i="48"/>
  <c r="Z74" i="48"/>
  <c r="L74" i="48"/>
  <c r="K74" i="48"/>
  <c r="H74" i="48"/>
  <c r="I74" i="48" s="1"/>
  <c r="AA73" i="48"/>
  <c r="Z73" i="48"/>
  <c r="L73" i="48" s="1"/>
  <c r="K73" i="48"/>
  <c r="H73" i="48"/>
  <c r="I73" i="48" s="1"/>
  <c r="AA72" i="48"/>
  <c r="Z72" i="48"/>
  <c r="L72" i="48" s="1"/>
  <c r="K72" i="48"/>
  <c r="H72" i="48"/>
  <c r="I72" i="48" s="1"/>
  <c r="AA71" i="48"/>
  <c r="Z71" i="48"/>
  <c r="L71" i="48" s="1"/>
  <c r="K71" i="48"/>
  <c r="H71" i="48"/>
  <c r="I71" i="48" s="1"/>
  <c r="AA70" i="48"/>
  <c r="Z70" i="48"/>
  <c r="L70" i="48" s="1"/>
  <c r="K70" i="48"/>
  <c r="H70" i="48"/>
  <c r="I70" i="48" s="1"/>
  <c r="AA69" i="48"/>
  <c r="Z69" i="48"/>
  <c r="L69" i="48" s="1"/>
  <c r="K69" i="48"/>
  <c r="H69" i="48"/>
  <c r="I69" i="48" s="1"/>
  <c r="AA68" i="48"/>
  <c r="Z68" i="48"/>
  <c r="L68" i="48" s="1"/>
  <c r="K68" i="48"/>
  <c r="H68" i="48"/>
  <c r="I68" i="48" s="1"/>
  <c r="AA67" i="48"/>
  <c r="Z67" i="48"/>
  <c r="L67" i="48" s="1"/>
  <c r="K67" i="48"/>
  <c r="H67" i="48"/>
  <c r="I67" i="48" s="1"/>
  <c r="AA66" i="48"/>
  <c r="Z66" i="48"/>
  <c r="L66" i="48" s="1"/>
  <c r="K66" i="48"/>
  <c r="H66" i="48"/>
  <c r="I66" i="48" s="1"/>
  <c r="AA65" i="48"/>
  <c r="Z65" i="48"/>
  <c r="L65" i="48" s="1"/>
  <c r="K65" i="48"/>
  <c r="H65" i="48"/>
  <c r="I65" i="48" s="1"/>
  <c r="AA64" i="48"/>
  <c r="Z64" i="48"/>
  <c r="L64" i="48" s="1"/>
  <c r="K64" i="48"/>
  <c r="H64" i="48"/>
  <c r="I64" i="48" s="1"/>
  <c r="AA63" i="48"/>
  <c r="Z63" i="48"/>
  <c r="L63" i="48" s="1"/>
  <c r="K63" i="48"/>
  <c r="H63" i="48"/>
  <c r="I63" i="48" s="1"/>
  <c r="AA62" i="48"/>
  <c r="Z62" i="48"/>
  <c r="L62" i="48" s="1"/>
  <c r="K62" i="48"/>
  <c r="H62" i="48"/>
  <c r="I62" i="48" s="1"/>
  <c r="AA61" i="48"/>
  <c r="Z61" i="48"/>
  <c r="L61" i="48"/>
  <c r="K61" i="48"/>
  <c r="H61" i="48"/>
  <c r="I61" i="48" s="1"/>
  <c r="AA60" i="48"/>
  <c r="Z60" i="48"/>
  <c r="L60" i="48" s="1"/>
  <c r="K60" i="48"/>
  <c r="I60" i="48"/>
  <c r="H60" i="48"/>
  <c r="AA59" i="48"/>
  <c r="Z59" i="48"/>
  <c r="L59" i="48" s="1"/>
  <c r="K59" i="48"/>
  <c r="H59" i="48"/>
  <c r="I59" i="48" s="1"/>
  <c r="AA58" i="48"/>
  <c r="Z58" i="48"/>
  <c r="L58" i="48"/>
  <c r="K58" i="48"/>
  <c r="H58" i="48"/>
  <c r="I58" i="48" s="1"/>
  <c r="AA57" i="48"/>
  <c r="Z57" i="48"/>
  <c r="L57" i="48" s="1"/>
  <c r="K57" i="48"/>
  <c r="H57" i="48"/>
  <c r="I57" i="48" s="1"/>
  <c r="AA56" i="48"/>
  <c r="Z56" i="48"/>
  <c r="L56" i="48" s="1"/>
  <c r="K56" i="48"/>
  <c r="H56" i="48"/>
  <c r="I56" i="48" s="1"/>
  <c r="AA55" i="48"/>
  <c r="Z55" i="48"/>
  <c r="L55" i="48" s="1"/>
  <c r="K55" i="48"/>
  <c r="H55" i="48"/>
  <c r="I55" i="48" s="1"/>
  <c r="AA54" i="48"/>
  <c r="Z54" i="48"/>
  <c r="L54" i="48" s="1"/>
  <c r="K54" i="48"/>
  <c r="H54" i="48"/>
  <c r="I54" i="48" s="1"/>
  <c r="AA53" i="48"/>
  <c r="Z53" i="48"/>
  <c r="L53" i="48" s="1"/>
  <c r="K53" i="48"/>
  <c r="H53" i="48"/>
  <c r="I53" i="48" s="1"/>
  <c r="AA52" i="48"/>
  <c r="Z52" i="48"/>
  <c r="L52" i="48" s="1"/>
  <c r="K52" i="48"/>
  <c r="H52" i="48"/>
  <c r="I52" i="48" s="1"/>
  <c r="AA51" i="48"/>
  <c r="Z51" i="48"/>
  <c r="L51" i="48" s="1"/>
  <c r="K51" i="48"/>
  <c r="H51" i="48"/>
  <c r="I51" i="48" s="1"/>
  <c r="AA50" i="48"/>
  <c r="Z50" i="48"/>
  <c r="L50" i="48" s="1"/>
  <c r="K50" i="48"/>
  <c r="H50" i="48"/>
  <c r="I50" i="48" s="1"/>
  <c r="AA49" i="48"/>
  <c r="Z49" i="48"/>
  <c r="L49" i="48" s="1"/>
  <c r="K49" i="48"/>
  <c r="H49" i="48"/>
  <c r="I49" i="48" s="1"/>
  <c r="AA48" i="48"/>
  <c r="Z48" i="48"/>
  <c r="L48" i="48" s="1"/>
  <c r="K48" i="48"/>
  <c r="H48" i="48"/>
  <c r="I48" i="48" s="1"/>
  <c r="AA47" i="48"/>
  <c r="Z47" i="48"/>
  <c r="L47" i="48" s="1"/>
  <c r="K47" i="48"/>
  <c r="H47" i="48"/>
  <c r="I47" i="48" s="1"/>
  <c r="AA46" i="48"/>
  <c r="Z46" i="48"/>
  <c r="L46" i="48" s="1"/>
  <c r="K46" i="48"/>
  <c r="H46" i="48"/>
  <c r="I46" i="48" s="1"/>
  <c r="AA45" i="48"/>
  <c r="Z45" i="48"/>
  <c r="L45" i="48"/>
  <c r="K45" i="48"/>
  <c r="H45" i="48"/>
  <c r="I45" i="48" s="1"/>
  <c r="AA44" i="48"/>
  <c r="Z44" i="48"/>
  <c r="L44" i="48" s="1"/>
  <c r="K44" i="48"/>
  <c r="H44" i="48"/>
  <c r="I44" i="48" s="1"/>
  <c r="AA43" i="48"/>
  <c r="Z43" i="48"/>
  <c r="L43" i="48" s="1"/>
  <c r="K43" i="48"/>
  <c r="H43" i="48"/>
  <c r="I43" i="48" s="1"/>
  <c r="AA42" i="48"/>
  <c r="Z42" i="48"/>
  <c r="L42" i="48" s="1"/>
  <c r="K42" i="48"/>
  <c r="H42" i="48"/>
  <c r="I42" i="48" s="1"/>
  <c r="AA41" i="48"/>
  <c r="Z41" i="48"/>
  <c r="L41" i="48" s="1"/>
  <c r="K41" i="48"/>
  <c r="H41" i="48"/>
  <c r="I41" i="48" s="1"/>
  <c r="AA40" i="48"/>
  <c r="Z40" i="48"/>
  <c r="L40" i="48" s="1"/>
  <c r="K40" i="48"/>
  <c r="H40" i="48"/>
  <c r="I40" i="48" s="1"/>
  <c r="AA39" i="48"/>
  <c r="Z39" i="48"/>
  <c r="L39" i="48" s="1"/>
  <c r="K39" i="48"/>
  <c r="H39" i="48"/>
  <c r="I39" i="48" s="1"/>
  <c r="AA38" i="48"/>
  <c r="Z38" i="48"/>
  <c r="L38" i="48"/>
  <c r="K38" i="48"/>
  <c r="H38" i="48"/>
  <c r="I38" i="48" s="1"/>
  <c r="AA37" i="48"/>
  <c r="Z37" i="48"/>
  <c r="L37" i="48" s="1"/>
  <c r="K37" i="48"/>
  <c r="H37" i="48"/>
  <c r="I37" i="48" s="1"/>
  <c r="AA36" i="48"/>
  <c r="Z36" i="48"/>
  <c r="L36" i="48" s="1"/>
  <c r="K36" i="48"/>
  <c r="H36" i="48"/>
  <c r="I36" i="48" s="1"/>
  <c r="AA35" i="48"/>
  <c r="Z35" i="48"/>
  <c r="L35" i="48" s="1"/>
  <c r="K35" i="48"/>
  <c r="H35" i="48"/>
  <c r="I35" i="48" s="1"/>
  <c r="AA34" i="48"/>
  <c r="Z34" i="48"/>
  <c r="L34" i="48" s="1"/>
  <c r="K34" i="48"/>
  <c r="H34" i="48"/>
  <c r="I34" i="48" s="1"/>
  <c r="AA33" i="48"/>
  <c r="Z33" i="48"/>
  <c r="L33" i="48" s="1"/>
  <c r="K33" i="48"/>
  <c r="H33" i="48"/>
  <c r="I33" i="48" s="1"/>
  <c r="AA32" i="48"/>
  <c r="Z32" i="48"/>
  <c r="H32" i="48"/>
  <c r="I32" i="48" s="1"/>
  <c r="K32" i="48" s="1"/>
  <c r="AA31" i="48"/>
  <c r="Z31" i="48"/>
  <c r="L31" i="48" s="1"/>
  <c r="K31" i="48"/>
  <c r="H31" i="48"/>
  <c r="I31" i="48" s="1"/>
  <c r="AA30" i="48"/>
  <c r="Z30" i="48"/>
  <c r="L30" i="48" s="1"/>
  <c r="H30" i="48"/>
  <c r="I30" i="48" s="1"/>
  <c r="AA22" i="48"/>
  <c r="AA15" i="48"/>
  <c r="Z15" i="48"/>
  <c r="AD2" i="48" s="1"/>
  <c r="B14" i="48"/>
  <c r="AA9" i="48"/>
  <c r="Z9" i="48"/>
  <c r="AC2" i="48" s="1"/>
  <c r="L2" i="48"/>
  <c r="AA74" i="47"/>
  <c r="Z74" i="47"/>
  <c r="L74" i="47" s="1"/>
  <c r="K74" i="47"/>
  <c r="H74" i="47"/>
  <c r="I74" i="47" s="1"/>
  <c r="AA73" i="47"/>
  <c r="Z73" i="47"/>
  <c r="L73" i="47"/>
  <c r="K73" i="47"/>
  <c r="H73" i="47"/>
  <c r="I73" i="47" s="1"/>
  <c r="AA72" i="47"/>
  <c r="Z72" i="47"/>
  <c r="L72" i="47" s="1"/>
  <c r="K72" i="47"/>
  <c r="H72" i="47"/>
  <c r="I72" i="47" s="1"/>
  <c r="AA71" i="47"/>
  <c r="Z71" i="47"/>
  <c r="L71" i="47" s="1"/>
  <c r="K71" i="47"/>
  <c r="H71" i="47"/>
  <c r="I71" i="47" s="1"/>
  <c r="AA70" i="47"/>
  <c r="Z70" i="47"/>
  <c r="L70" i="47" s="1"/>
  <c r="K70" i="47"/>
  <c r="H70" i="47"/>
  <c r="I70" i="47" s="1"/>
  <c r="AA69" i="47"/>
  <c r="Z69" i="47"/>
  <c r="L69" i="47" s="1"/>
  <c r="K69" i="47"/>
  <c r="H69" i="47"/>
  <c r="I69" i="47" s="1"/>
  <c r="AA68" i="47"/>
  <c r="Z68" i="47"/>
  <c r="L68" i="47" s="1"/>
  <c r="K68" i="47"/>
  <c r="H68" i="47"/>
  <c r="I68" i="47" s="1"/>
  <c r="AA67" i="47"/>
  <c r="Z67" i="47"/>
  <c r="L67" i="47" s="1"/>
  <c r="K67" i="47"/>
  <c r="H67" i="47"/>
  <c r="I67" i="47" s="1"/>
  <c r="AA66" i="47"/>
  <c r="Z66" i="47"/>
  <c r="L66" i="47"/>
  <c r="K66" i="47"/>
  <c r="H66" i="47"/>
  <c r="I66" i="47" s="1"/>
  <c r="AA65" i="47"/>
  <c r="Z65" i="47"/>
  <c r="L65" i="47" s="1"/>
  <c r="K65" i="47"/>
  <c r="H65" i="47"/>
  <c r="I65" i="47" s="1"/>
  <c r="AA64" i="47"/>
  <c r="Z64" i="47"/>
  <c r="L64" i="47" s="1"/>
  <c r="K64" i="47"/>
  <c r="H64" i="47"/>
  <c r="I64" i="47" s="1"/>
  <c r="AA63" i="47"/>
  <c r="Z63" i="47"/>
  <c r="L63" i="47" s="1"/>
  <c r="K63" i="47"/>
  <c r="H63" i="47"/>
  <c r="I63" i="47" s="1"/>
  <c r="AA62" i="47"/>
  <c r="Z62" i="47"/>
  <c r="L62" i="47" s="1"/>
  <c r="K62" i="47"/>
  <c r="H62" i="47"/>
  <c r="I62" i="47" s="1"/>
  <c r="AA61" i="47"/>
  <c r="Z61" i="47"/>
  <c r="L61" i="47" s="1"/>
  <c r="K61" i="47"/>
  <c r="H61" i="47"/>
  <c r="I61" i="47" s="1"/>
  <c r="AA60" i="47"/>
  <c r="Z60" i="47"/>
  <c r="L60" i="47" s="1"/>
  <c r="K60" i="47"/>
  <c r="H60" i="47"/>
  <c r="I60" i="47" s="1"/>
  <c r="AA59" i="47"/>
  <c r="Z59" i="47"/>
  <c r="L59" i="47" s="1"/>
  <c r="K59" i="47"/>
  <c r="H59" i="47"/>
  <c r="I59" i="47" s="1"/>
  <c r="AA58" i="47"/>
  <c r="Z58" i="47"/>
  <c r="L58" i="47" s="1"/>
  <c r="K58" i="47"/>
  <c r="H58" i="47"/>
  <c r="I58" i="47" s="1"/>
  <c r="AA57" i="47"/>
  <c r="Z57" i="47"/>
  <c r="L57" i="47" s="1"/>
  <c r="K57" i="47"/>
  <c r="H57" i="47"/>
  <c r="I57" i="47" s="1"/>
  <c r="AA56" i="47"/>
  <c r="Z56" i="47"/>
  <c r="L56" i="47" s="1"/>
  <c r="K56" i="47"/>
  <c r="H56" i="47"/>
  <c r="I56" i="47" s="1"/>
  <c r="AA55" i="47"/>
  <c r="Z55" i="47"/>
  <c r="L55" i="47" s="1"/>
  <c r="K55" i="47"/>
  <c r="H55" i="47"/>
  <c r="I55" i="47" s="1"/>
  <c r="AA54" i="47"/>
  <c r="Z54" i="47"/>
  <c r="L54" i="47" s="1"/>
  <c r="K54" i="47"/>
  <c r="H54" i="47"/>
  <c r="I54" i="47" s="1"/>
  <c r="AA53" i="47"/>
  <c r="Z53" i="47"/>
  <c r="L53" i="47" s="1"/>
  <c r="K53" i="47"/>
  <c r="H53" i="47"/>
  <c r="I53" i="47" s="1"/>
  <c r="AA52" i="47"/>
  <c r="Z52" i="47"/>
  <c r="L52" i="47" s="1"/>
  <c r="K52" i="47"/>
  <c r="H52" i="47"/>
  <c r="I52" i="47" s="1"/>
  <c r="AA51" i="47"/>
  <c r="Z51" i="47"/>
  <c r="L51" i="47" s="1"/>
  <c r="K51" i="47"/>
  <c r="H51" i="47"/>
  <c r="I51" i="47" s="1"/>
  <c r="AA50" i="47"/>
  <c r="Z50" i="47"/>
  <c r="L50" i="47"/>
  <c r="K50" i="47"/>
  <c r="H50" i="47"/>
  <c r="I50" i="47" s="1"/>
  <c r="AA49" i="47"/>
  <c r="Z49" i="47"/>
  <c r="L49" i="47" s="1"/>
  <c r="K49" i="47"/>
  <c r="H49" i="47"/>
  <c r="I49" i="47" s="1"/>
  <c r="AA48" i="47"/>
  <c r="Z48" i="47"/>
  <c r="L48" i="47" s="1"/>
  <c r="K48" i="47"/>
  <c r="H48" i="47"/>
  <c r="I48" i="47" s="1"/>
  <c r="AA47" i="47"/>
  <c r="Z47" i="47"/>
  <c r="L47" i="47" s="1"/>
  <c r="K47" i="47"/>
  <c r="H47" i="47"/>
  <c r="I47" i="47" s="1"/>
  <c r="AA46" i="47"/>
  <c r="Z46" i="47"/>
  <c r="L46" i="47" s="1"/>
  <c r="K46" i="47"/>
  <c r="H46" i="47"/>
  <c r="I46" i="47" s="1"/>
  <c r="AA45" i="47"/>
  <c r="Z45" i="47"/>
  <c r="L45" i="47" s="1"/>
  <c r="K45" i="47"/>
  <c r="H45" i="47"/>
  <c r="I45" i="47" s="1"/>
  <c r="AA44" i="47"/>
  <c r="Z44" i="47"/>
  <c r="L44" i="47" s="1"/>
  <c r="K44" i="47"/>
  <c r="H44" i="47"/>
  <c r="I44" i="47" s="1"/>
  <c r="AA43" i="47"/>
  <c r="Z43" i="47"/>
  <c r="L43" i="47" s="1"/>
  <c r="K43" i="47"/>
  <c r="H43" i="47"/>
  <c r="I43" i="47" s="1"/>
  <c r="AA42" i="47"/>
  <c r="Z42" i="47"/>
  <c r="L42" i="47"/>
  <c r="K42" i="47"/>
  <c r="H42" i="47"/>
  <c r="I42" i="47" s="1"/>
  <c r="AA41" i="47"/>
  <c r="Z41" i="47"/>
  <c r="L41" i="47" s="1"/>
  <c r="K41" i="47"/>
  <c r="H41" i="47"/>
  <c r="I41" i="47" s="1"/>
  <c r="AA40" i="47"/>
  <c r="Z40" i="47"/>
  <c r="L40" i="47" s="1"/>
  <c r="K40" i="47"/>
  <c r="H40" i="47"/>
  <c r="I40" i="47" s="1"/>
  <c r="AA39" i="47"/>
  <c r="Z39" i="47"/>
  <c r="L39" i="47" s="1"/>
  <c r="K39" i="47"/>
  <c r="H39" i="47"/>
  <c r="I39" i="47" s="1"/>
  <c r="AA38" i="47"/>
  <c r="Z38" i="47"/>
  <c r="L38" i="47" s="1"/>
  <c r="K38" i="47"/>
  <c r="H38" i="47"/>
  <c r="I38" i="47" s="1"/>
  <c r="AA37" i="47"/>
  <c r="Z37" i="47"/>
  <c r="L37" i="47" s="1"/>
  <c r="K37" i="47"/>
  <c r="H37" i="47"/>
  <c r="I37" i="47" s="1"/>
  <c r="AA36" i="47"/>
  <c r="Z36" i="47"/>
  <c r="L36" i="47" s="1"/>
  <c r="K36" i="47"/>
  <c r="H36" i="47"/>
  <c r="I36" i="47" s="1"/>
  <c r="AA35" i="47"/>
  <c r="Z35" i="47"/>
  <c r="K35" i="47"/>
  <c r="H35" i="47"/>
  <c r="I35" i="47" s="1"/>
  <c r="AA34" i="47"/>
  <c r="Z34" i="47"/>
  <c r="L34" i="47" s="1"/>
  <c r="K34" i="47"/>
  <c r="H34" i="47"/>
  <c r="I34" i="47" s="1"/>
  <c r="AA33" i="47"/>
  <c r="Z33" i="47"/>
  <c r="L33" i="47" s="1"/>
  <c r="K33" i="47"/>
  <c r="H33" i="47"/>
  <c r="I33" i="47" s="1"/>
  <c r="AA32" i="47"/>
  <c r="Z32" i="47"/>
  <c r="H32" i="47"/>
  <c r="I32" i="47" s="1"/>
  <c r="K32" i="47" s="1"/>
  <c r="AA31" i="47"/>
  <c r="Z31" i="47"/>
  <c r="L31" i="47" s="1"/>
  <c r="K31" i="47"/>
  <c r="H31" i="47"/>
  <c r="I31" i="47" s="1"/>
  <c r="AA30" i="47"/>
  <c r="Z30" i="47"/>
  <c r="L30" i="47" s="1"/>
  <c r="H30" i="47"/>
  <c r="I30" i="47" s="1"/>
  <c r="AA22" i="47"/>
  <c r="Z22" i="47"/>
  <c r="AE2" i="47" s="1"/>
  <c r="AA15" i="47"/>
  <c r="Z15" i="47"/>
  <c r="B14" i="47"/>
  <c r="AA9" i="47"/>
  <c r="Z9" i="47"/>
  <c r="AD2" i="47"/>
  <c r="AC2" i="47"/>
  <c r="L2" i="47"/>
  <c r="AA74" i="46"/>
  <c r="Z74" i="46"/>
  <c r="L74" i="46" s="1"/>
  <c r="K74" i="46"/>
  <c r="H74" i="46"/>
  <c r="I74" i="46" s="1"/>
  <c r="AA73" i="46"/>
  <c r="Z73" i="46"/>
  <c r="L73" i="46" s="1"/>
  <c r="K73" i="46"/>
  <c r="H73" i="46"/>
  <c r="I73" i="46" s="1"/>
  <c r="AA72" i="46"/>
  <c r="Z72" i="46"/>
  <c r="L72" i="46" s="1"/>
  <c r="K72" i="46"/>
  <c r="H72" i="46"/>
  <c r="I72" i="46" s="1"/>
  <c r="AA71" i="46"/>
  <c r="Z71" i="46"/>
  <c r="L71" i="46" s="1"/>
  <c r="K71" i="46"/>
  <c r="H71" i="46"/>
  <c r="I71" i="46" s="1"/>
  <c r="AA70" i="46"/>
  <c r="Z70" i="46"/>
  <c r="L70" i="46" s="1"/>
  <c r="K70" i="46"/>
  <c r="H70" i="46"/>
  <c r="I70" i="46" s="1"/>
  <c r="AA69" i="46"/>
  <c r="Z69" i="46"/>
  <c r="L69" i="46"/>
  <c r="K69" i="46"/>
  <c r="H69" i="46"/>
  <c r="I69" i="46" s="1"/>
  <c r="AA68" i="46"/>
  <c r="Z68" i="46"/>
  <c r="L68" i="46" s="1"/>
  <c r="K68" i="46"/>
  <c r="H68" i="46"/>
  <c r="I68" i="46" s="1"/>
  <c r="AA67" i="46"/>
  <c r="Z67" i="46"/>
  <c r="L67" i="46" s="1"/>
  <c r="K67" i="46"/>
  <c r="H67" i="46"/>
  <c r="I67" i="46" s="1"/>
  <c r="AA66" i="46"/>
  <c r="Z66" i="46"/>
  <c r="L66" i="46" s="1"/>
  <c r="K66" i="46"/>
  <c r="H66" i="46"/>
  <c r="I66" i="46" s="1"/>
  <c r="AA65" i="46"/>
  <c r="Z65" i="46"/>
  <c r="L65" i="46" s="1"/>
  <c r="K65" i="46"/>
  <c r="H65" i="46"/>
  <c r="I65" i="46" s="1"/>
  <c r="AA64" i="46"/>
  <c r="Z64" i="46"/>
  <c r="L64" i="46" s="1"/>
  <c r="K64" i="46"/>
  <c r="H64" i="46"/>
  <c r="I64" i="46" s="1"/>
  <c r="AA63" i="46"/>
  <c r="Z63" i="46"/>
  <c r="L63" i="46" s="1"/>
  <c r="K63" i="46"/>
  <c r="H63" i="46"/>
  <c r="I63" i="46" s="1"/>
  <c r="AA62" i="46"/>
  <c r="Z62" i="46"/>
  <c r="L62" i="46" s="1"/>
  <c r="K62" i="46"/>
  <c r="H62" i="46"/>
  <c r="I62" i="46" s="1"/>
  <c r="AA61" i="46"/>
  <c r="Z61" i="46"/>
  <c r="L61" i="46" s="1"/>
  <c r="K61" i="46"/>
  <c r="H61" i="46"/>
  <c r="I61" i="46" s="1"/>
  <c r="AA60" i="46"/>
  <c r="Z60" i="46"/>
  <c r="L60" i="46" s="1"/>
  <c r="K60" i="46"/>
  <c r="H60" i="46"/>
  <c r="I60" i="46" s="1"/>
  <c r="AA59" i="46"/>
  <c r="Z59" i="46"/>
  <c r="L59" i="46" s="1"/>
  <c r="K59" i="46"/>
  <c r="H59" i="46"/>
  <c r="I59" i="46" s="1"/>
  <c r="AA58" i="46"/>
  <c r="Z58" i="46"/>
  <c r="L58" i="46" s="1"/>
  <c r="K58" i="46"/>
  <c r="H58" i="46"/>
  <c r="I58" i="46" s="1"/>
  <c r="AA57" i="46"/>
  <c r="Z57" i="46"/>
  <c r="L57" i="46" s="1"/>
  <c r="K57" i="46"/>
  <c r="H57" i="46"/>
  <c r="I57" i="46" s="1"/>
  <c r="AA56" i="46"/>
  <c r="Z56" i="46"/>
  <c r="L56" i="46" s="1"/>
  <c r="K56" i="46"/>
  <c r="H56" i="46"/>
  <c r="I56" i="46" s="1"/>
  <c r="AA55" i="46"/>
  <c r="Z55" i="46"/>
  <c r="L55" i="46" s="1"/>
  <c r="K55" i="46"/>
  <c r="H55" i="46"/>
  <c r="I55" i="46" s="1"/>
  <c r="AA54" i="46"/>
  <c r="Z54" i="46"/>
  <c r="L54" i="46" s="1"/>
  <c r="K54" i="46"/>
  <c r="H54" i="46"/>
  <c r="I54" i="46" s="1"/>
  <c r="AA53" i="46"/>
  <c r="Z53" i="46"/>
  <c r="L53" i="46" s="1"/>
  <c r="K53" i="46"/>
  <c r="H53" i="46"/>
  <c r="I53" i="46" s="1"/>
  <c r="AA52" i="46"/>
  <c r="Z52" i="46"/>
  <c r="L52" i="46" s="1"/>
  <c r="K52" i="46"/>
  <c r="H52" i="46"/>
  <c r="I52" i="46" s="1"/>
  <c r="AA51" i="46"/>
  <c r="Z51" i="46"/>
  <c r="L51" i="46" s="1"/>
  <c r="K51" i="46"/>
  <c r="H51" i="46"/>
  <c r="I51" i="46" s="1"/>
  <c r="AA50" i="46"/>
  <c r="Z50" i="46"/>
  <c r="L50" i="46"/>
  <c r="K50" i="46"/>
  <c r="H50" i="46"/>
  <c r="I50" i="46" s="1"/>
  <c r="AA49" i="46"/>
  <c r="Z49" i="46"/>
  <c r="L49" i="46" s="1"/>
  <c r="K49" i="46"/>
  <c r="H49" i="46"/>
  <c r="I49" i="46" s="1"/>
  <c r="AA48" i="46"/>
  <c r="Z48" i="46"/>
  <c r="L48" i="46" s="1"/>
  <c r="K48" i="46"/>
  <c r="H48" i="46"/>
  <c r="I48" i="46" s="1"/>
  <c r="AA47" i="46"/>
  <c r="Z47" i="46"/>
  <c r="L47" i="46" s="1"/>
  <c r="K47" i="46"/>
  <c r="H47" i="46"/>
  <c r="I47" i="46" s="1"/>
  <c r="AA46" i="46"/>
  <c r="Z46" i="46"/>
  <c r="L46" i="46" s="1"/>
  <c r="K46" i="46"/>
  <c r="H46" i="46"/>
  <c r="I46" i="46" s="1"/>
  <c r="AA45" i="46"/>
  <c r="Z45" i="46"/>
  <c r="L45" i="46" s="1"/>
  <c r="K45" i="46"/>
  <c r="H45" i="46"/>
  <c r="I45" i="46" s="1"/>
  <c r="AA44" i="46"/>
  <c r="Z44" i="46"/>
  <c r="L44" i="46" s="1"/>
  <c r="K44" i="46"/>
  <c r="H44" i="46"/>
  <c r="I44" i="46" s="1"/>
  <c r="AA43" i="46"/>
  <c r="Z43" i="46"/>
  <c r="L43" i="46" s="1"/>
  <c r="K43" i="46"/>
  <c r="H43" i="46"/>
  <c r="I43" i="46" s="1"/>
  <c r="AA42" i="46"/>
  <c r="Z42" i="46"/>
  <c r="L42" i="46" s="1"/>
  <c r="K42" i="46"/>
  <c r="H42" i="46"/>
  <c r="I42" i="46" s="1"/>
  <c r="AA41" i="46"/>
  <c r="Z41" i="46"/>
  <c r="L41" i="46"/>
  <c r="K41" i="46"/>
  <c r="H41" i="46"/>
  <c r="I41" i="46" s="1"/>
  <c r="AA40" i="46"/>
  <c r="Z40" i="46"/>
  <c r="K40" i="46"/>
  <c r="H40" i="46"/>
  <c r="I40" i="46" s="1"/>
  <c r="AA39" i="46"/>
  <c r="Z39" i="46"/>
  <c r="L39" i="46" s="1"/>
  <c r="K39" i="46"/>
  <c r="H39" i="46"/>
  <c r="I39" i="46" s="1"/>
  <c r="AA38" i="46"/>
  <c r="Z38" i="46"/>
  <c r="L38" i="46" s="1"/>
  <c r="K38" i="46"/>
  <c r="H38" i="46"/>
  <c r="I38" i="46" s="1"/>
  <c r="AA37" i="46"/>
  <c r="Z37" i="46"/>
  <c r="L37" i="46" s="1"/>
  <c r="K37" i="46"/>
  <c r="H37" i="46"/>
  <c r="I37" i="46" s="1"/>
  <c r="AA36" i="46"/>
  <c r="Z36" i="46"/>
  <c r="L36" i="46" s="1"/>
  <c r="K36" i="46"/>
  <c r="H36" i="46"/>
  <c r="I36" i="46" s="1"/>
  <c r="AA35" i="46"/>
  <c r="Z35" i="46"/>
  <c r="L35" i="46" s="1"/>
  <c r="K35" i="46"/>
  <c r="H35" i="46"/>
  <c r="I35" i="46" s="1"/>
  <c r="AA34" i="46"/>
  <c r="Z34" i="46"/>
  <c r="L34" i="46" s="1"/>
  <c r="K34" i="46"/>
  <c r="H34" i="46"/>
  <c r="I34" i="46" s="1"/>
  <c r="AA33" i="46"/>
  <c r="Z33" i="46"/>
  <c r="L33" i="46" s="1"/>
  <c r="K33" i="46"/>
  <c r="H33" i="46"/>
  <c r="I33" i="46" s="1"/>
  <c r="AA32" i="46"/>
  <c r="Z32" i="46"/>
  <c r="H32" i="46"/>
  <c r="I32" i="46" s="1"/>
  <c r="K32" i="46" s="1"/>
  <c r="AA31" i="46"/>
  <c r="Z31" i="46"/>
  <c r="L31" i="46" s="1"/>
  <c r="K31" i="46"/>
  <c r="H31" i="46"/>
  <c r="I31" i="46" s="1"/>
  <c r="AA30" i="46"/>
  <c r="Z30" i="46"/>
  <c r="L30" i="46" s="1"/>
  <c r="H30" i="46"/>
  <c r="I30" i="46" s="1"/>
  <c r="AA22" i="46"/>
  <c r="Z22" i="46"/>
  <c r="AA15" i="46"/>
  <c r="Z15" i="46"/>
  <c r="AD2" i="46" s="1"/>
  <c r="B14" i="46"/>
  <c r="AA9" i="46"/>
  <c r="Z9" i="46"/>
  <c r="AE2" i="46"/>
  <c r="AC2" i="46"/>
  <c r="L2" i="46"/>
  <c r="AA74" i="45"/>
  <c r="Z74" i="45"/>
  <c r="L74" i="45" s="1"/>
  <c r="K74" i="45"/>
  <c r="H74" i="45"/>
  <c r="I74" i="45" s="1"/>
  <c r="AA73" i="45"/>
  <c r="Z73" i="45"/>
  <c r="L73" i="45" s="1"/>
  <c r="K73" i="45"/>
  <c r="H73" i="45"/>
  <c r="I73" i="45" s="1"/>
  <c r="AA72" i="45"/>
  <c r="Z72" i="45"/>
  <c r="L72" i="45" s="1"/>
  <c r="K72" i="45"/>
  <c r="H72" i="45"/>
  <c r="I72" i="45" s="1"/>
  <c r="AA71" i="45"/>
  <c r="Z71" i="45"/>
  <c r="L71" i="45" s="1"/>
  <c r="K71" i="45"/>
  <c r="H71" i="45"/>
  <c r="I71" i="45" s="1"/>
  <c r="AA70" i="45"/>
  <c r="Z70" i="45"/>
  <c r="L70" i="45" s="1"/>
  <c r="K70" i="45"/>
  <c r="H70" i="45"/>
  <c r="I70" i="45" s="1"/>
  <c r="AA69" i="45"/>
  <c r="Z69" i="45"/>
  <c r="L69" i="45" s="1"/>
  <c r="K69" i="45"/>
  <c r="H69" i="45"/>
  <c r="I69" i="45" s="1"/>
  <c r="AA68" i="45"/>
  <c r="Z68" i="45"/>
  <c r="L68" i="45" s="1"/>
  <c r="K68" i="45"/>
  <c r="H68" i="45"/>
  <c r="I68" i="45" s="1"/>
  <c r="AA67" i="45"/>
  <c r="Z67" i="45"/>
  <c r="L67" i="45" s="1"/>
  <c r="K67" i="45"/>
  <c r="H67" i="45"/>
  <c r="I67" i="45" s="1"/>
  <c r="AA66" i="45"/>
  <c r="Z66" i="45"/>
  <c r="L66" i="45" s="1"/>
  <c r="K66" i="45"/>
  <c r="H66" i="45"/>
  <c r="I66" i="45" s="1"/>
  <c r="AA65" i="45"/>
  <c r="Z65" i="45"/>
  <c r="L65" i="45" s="1"/>
  <c r="K65" i="45"/>
  <c r="H65" i="45"/>
  <c r="I65" i="45" s="1"/>
  <c r="AA64" i="45"/>
  <c r="Z64" i="45"/>
  <c r="L64" i="45" s="1"/>
  <c r="K64" i="45"/>
  <c r="H64" i="45"/>
  <c r="I64" i="45" s="1"/>
  <c r="AA63" i="45"/>
  <c r="Z63" i="45"/>
  <c r="L63" i="45" s="1"/>
  <c r="K63" i="45"/>
  <c r="H63" i="45"/>
  <c r="I63" i="45" s="1"/>
  <c r="AA62" i="45"/>
  <c r="Z62" i="45"/>
  <c r="L62" i="45" s="1"/>
  <c r="K62" i="45"/>
  <c r="H62" i="45"/>
  <c r="I62" i="45" s="1"/>
  <c r="AA61" i="45"/>
  <c r="Z61" i="45"/>
  <c r="L61" i="45" s="1"/>
  <c r="K61" i="45"/>
  <c r="H61" i="45"/>
  <c r="I61" i="45" s="1"/>
  <c r="AA60" i="45"/>
  <c r="Z60" i="45"/>
  <c r="L60" i="45" s="1"/>
  <c r="K60" i="45"/>
  <c r="H60" i="45"/>
  <c r="I60" i="45" s="1"/>
  <c r="AA59" i="45"/>
  <c r="Z59" i="45"/>
  <c r="L59" i="45" s="1"/>
  <c r="K59" i="45"/>
  <c r="H59" i="45"/>
  <c r="I59" i="45" s="1"/>
  <c r="AA58" i="45"/>
  <c r="Z58" i="45"/>
  <c r="L58" i="45"/>
  <c r="K58" i="45"/>
  <c r="H58" i="45"/>
  <c r="I58" i="45" s="1"/>
  <c r="AA57" i="45"/>
  <c r="Z57" i="45"/>
  <c r="L57" i="45" s="1"/>
  <c r="K57" i="45"/>
  <c r="H57" i="45"/>
  <c r="I57" i="45" s="1"/>
  <c r="AA56" i="45"/>
  <c r="Z56" i="45"/>
  <c r="L56" i="45" s="1"/>
  <c r="K56" i="45"/>
  <c r="H56" i="45"/>
  <c r="I56" i="45" s="1"/>
  <c r="AA55" i="45"/>
  <c r="Z55" i="45"/>
  <c r="L55" i="45" s="1"/>
  <c r="K55" i="45"/>
  <c r="H55" i="45"/>
  <c r="I55" i="45" s="1"/>
  <c r="AA54" i="45"/>
  <c r="Z54" i="45"/>
  <c r="L54" i="45" s="1"/>
  <c r="K54" i="45"/>
  <c r="H54" i="45"/>
  <c r="I54" i="45" s="1"/>
  <c r="AA53" i="45"/>
  <c r="Z53" i="45"/>
  <c r="L53" i="45" s="1"/>
  <c r="K53" i="45"/>
  <c r="H53" i="45"/>
  <c r="I53" i="45" s="1"/>
  <c r="AA52" i="45"/>
  <c r="Z52" i="45"/>
  <c r="L52" i="45" s="1"/>
  <c r="K52" i="45"/>
  <c r="H52" i="45"/>
  <c r="I52" i="45" s="1"/>
  <c r="AA51" i="45"/>
  <c r="Z51" i="45"/>
  <c r="L51" i="45" s="1"/>
  <c r="K51" i="45"/>
  <c r="H51" i="45"/>
  <c r="I51" i="45" s="1"/>
  <c r="AA50" i="45"/>
  <c r="Z50" i="45"/>
  <c r="L50" i="45" s="1"/>
  <c r="K50" i="45"/>
  <c r="H50" i="45"/>
  <c r="I50" i="45" s="1"/>
  <c r="AA49" i="45"/>
  <c r="Z49" i="45"/>
  <c r="L49" i="45" s="1"/>
  <c r="K49" i="45"/>
  <c r="H49" i="45"/>
  <c r="I49" i="45" s="1"/>
  <c r="AA48" i="45"/>
  <c r="Z48" i="45"/>
  <c r="L48" i="45" s="1"/>
  <c r="K48" i="45"/>
  <c r="H48" i="45"/>
  <c r="I48" i="45" s="1"/>
  <c r="AA47" i="45"/>
  <c r="Z47" i="45"/>
  <c r="L47" i="45" s="1"/>
  <c r="K47" i="45"/>
  <c r="H47" i="45"/>
  <c r="I47" i="45" s="1"/>
  <c r="AA46" i="45"/>
  <c r="Z46" i="45"/>
  <c r="L46" i="45" s="1"/>
  <c r="K46" i="45"/>
  <c r="H46" i="45"/>
  <c r="I46" i="45" s="1"/>
  <c r="AA45" i="45"/>
  <c r="Z45" i="45"/>
  <c r="L45" i="45" s="1"/>
  <c r="K45" i="45"/>
  <c r="H45" i="45"/>
  <c r="I45" i="45" s="1"/>
  <c r="AA44" i="45"/>
  <c r="Z44" i="45"/>
  <c r="L44" i="45" s="1"/>
  <c r="K44" i="45"/>
  <c r="H44" i="45"/>
  <c r="I44" i="45" s="1"/>
  <c r="AA43" i="45"/>
  <c r="Z43" i="45"/>
  <c r="L43" i="45" s="1"/>
  <c r="K43" i="45"/>
  <c r="H43" i="45"/>
  <c r="I43" i="45" s="1"/>
  <c r="AA42" i="45"/>
  <c r="Z42" i="45"/>
  <c r="L42" i="45"/>
  <c r="K42" i="45"/>
  <c r="H42" i="45"/>
  <c r="I42" i="45" s="1"/>
  <c r="AA41" i="45"/>
  <c r="Z41" i="45"/>
  <c r="L41" i="45" s="1"/>
  <c r="K41" i="45"/>
  <c r="H41" i="45"/>
  <c r="I41" i="45" s="1"/>
  <c r="AA40" i="45"/>
  <c r="Z40" i="45"/>
  <c r="L40" i="45" s="1"/>
  <c r="K40" i="45"/>
  <c r="H40" i="45"/>
  <c r="I40" i="45" s="1"/>
  <c r="AA39" i="45"/>
  <c r="Z39" i="45"/>
  <c r="L39" i="45" s="1"/>
  <c r="K39" i="45"/>
  <c r="H39" i="45"/>
  <c r="I39" i="45" s="1"/>
  <c r="AA38" i="45"/>
  <c r="Z38" i="45"/>
  <c r="L38" i="45" s="1"/>
  <c r="K38" i="45"/>
  <c r="H38" i="45"/>
  <c r="I38" i="45" s="1"/>
  <c r="AA37" i="45"/>
  <c r="Z37" i="45"/>
  <c r="L37" i="45" s="1"/>
  <c r="K37" i="45"/>
  <c r="H37" i="45"/>
  <c r="I37" i="45" s="1"/>
  <c r="AA36" i="45"/>
  <c r="Z36" i="45"/>
  <c r="L36" i="45" s="1"/>
  <c r="K36" i="45"/>
  <c r="H36" i="45"/>
  <c r="I36" i="45" s="1"/>
  <c r="AA35" i="45"/>
  <c r="Z35" i="45"/>
  <c r="K35" i="45"/>
  <c r="H35" i="45"/>
  <c r="I35" i="45" s="1"/>
  <c r="AA34" i="45"/>
  <c r="Z34" i="45"/>
  <c r="L34" i="45" s="1"/>
  <c r="K34" i="45"/>
  <c r="H34" i="45"/>
  <c r="I34" i="45" s="1"/>
  <c r="AA33" i="45"/>
  <c r="Z33" i="45"/>
  <c r="L33" i="45" s="1"/>
  <c r="K33" i="45"/>
  <c r="H33" i="45"/>
  <c r="I33" i="45" s="1"/>
  <c r="AA32" i="45"/>
  <c r="Z32" i="45"/>
  <c r="H32" i="45"/>
  <c r="I32" i="45" s="1"/>
  <c r="K32" i="45" s="1"/>
  <c r="AA31" i="45"/>
  <c r="Z31" i="45"/>
  <c r="L31" i="45" s="1"/>
  <c r="K31" i="45"/>
  <c r="H31" i="45"/>
  <c r="I31" i="45" s="1"/>
  <c r="AA30" i="45"/>
  <c r="Z30" i="45"/>
  <c r="L30" i="45" s="1"/>
  <c r="H30" i="45"/>
  <c r="I30" i="45" s="1"/>
  <c r="AA22" i="45"/>
  <c r="Z22" i="45"/>
  <c r="AE2" i="45" s="1"/>
  <c r="AA15" i="45"/>
  <c r="Z15" i="45"/>
  <c r="B14" i="45"/>
  <c r="AA9" i="45"/>
  <c r="Z9" i="45"/>
  <c r="AD2" i="45"/>
  <c r="AC2" i="45"/>
  <c r="L2" i="45"/>
  <c r="AA74" i="44"/>
  <c r="Z74" i="44"/>
  <c r="L74" i="44" s="1"/>
  <c r="K74" i="44"/>
  <c r="H74" i="44"/>
  <c r="I74" i="44" s="1"/>
  <c r="AA73" i="44"/>
  <c r="Z73" i="44"/>
  <c r="L73" i="44" s="1"/>
  <c r="K73" i="44"/>
  <c r="H73" i="44"/>
  <c r="I73" i="44" s="1"/>
  <c r="AA72" i="44"/>
  <c r="Z72" i="44"/>
  <c r="L72" i="44" s="1"/>
  <c r="K72" i="44"/>
  <c r="H72" i="44"/>
  <c r="I72" i="44" s="1"/>
  <c r="AA71" i="44"/>
  <c r="Z71" i="44"/>
  <c r="L71" i="44" s="1"/>
  <c r="K71" i="44"/>
  <c r="H71" i="44"/>
  <c r="I71" i="44" s="1"/>
  <c r="AA70" i="44"/>
  <c r="Z70" i="44"/>
  <c r="L70" i="44" s="1"/>
  <c r="K70" i="44"/>
  <c r="H70" i="44"/>
  <c r="I70" i="44" s="1"/>
  <c r="AA69" i="44"/>
  <c r="Z69" i="44"/>
  <c r="L69" i="44" s="1"/>
  <c r="K69" i="44"/>
  <c r="H69" i="44"/>
  <c r="I69" i="44" s="1"/>
  <c r="AA68" i="44"/>
  <c r="Z68" i="44"/>
  <c r="L68" i="44" s="1"/>
  <c r="K68" i="44"/>
  <c r="H68" i="44"/>
  <c r="I68" i="44" s="1"/>
  <c r="AA67" i="44"/>
  <c r="Z67" i="44"/>
  <c r="L67" i="44" s="1"/>
  <c r="K67" i="44"/>
  <c r="H67" i="44"/>
  <c r="I67" i="44" s="1"/>
  <c r="AA66" i="44"/>
  <c r="Z66" i="44"/>
  <c r="L66" i="44" s="1"/>
  <c r="K66" i="44"/>
  <c r="H66" i="44"/>
  <c r="I66" i="44" s="1"/>
  <c r="AA65" i="44"/>
  <c r="Z65" i="44"/>
  <c r="L65" i="44" s="1"/>
  <c r="K65" i="44"/>
  <c r="H65" i="44"/>
  <c r="I65" i="44" s="1"/>
  <c r="AA64" i="44"/>
  <c r="Z64" i="44"/>
  <c r="L64" i="44" s="1"/>
  <c r="K64" i="44"/>
  <c r="H64" i="44"/>
  <c r="I64" i="44" s="1"/>
  <c r="AA63" i="44"/>
  <c r="Z63" i="44"/>
  <c r="L63" i="44" s="1"/>
  <c r="K63" i="44"/>
  <c r="H63" i="44"/>
  <c r="I63" i="44" s="1"/>
  <c r="AA62" i="44"/>
  <c r="Z62" i="44"/>
  <c r="L62" i="44"/>
  <c r="K62" i="44"/>
  <c r="H62" i="44"/>
  <c r="I62" i="44" s="1"/>
  <c r="AA61" i="44"/>
  <c r="Z61" i="44"/>
  <c r="L61" i="44" s="1"/>
  <c r="K61" i="44"/>
  <c r="H61" i="44"/>
  <c r="I61" i="44" s="1"/>
  <c r="AA60" i="44"/>
  <c r="Z60" i="44"/>
  <c r="L60" i="44" s="1"/>
  <c r="K60" i="44"/>
  <c r="H60" i="44"/>
  <c r="I60" i="44" s="1"/>
  <c r="AA59" i="44"/>
  <c r="Z59" i="44"/>
  <c r="L59" i="44" s="1"/>
  <c r="K59" i="44"/>
  <c r="H59" i="44"/>
  <c r="I59" i="44" s="1"/>
  <c r="AA58" i="44"/>
  <c r="Z58" i="44"/>
  <c r="L58" i="44" s="1"/>
  <c r="K58" i="44"/>
  <c r="H58" i="44"/>
  <c r="I58" i="44" s="1"/>
  <c r="AA57" i="44"/>
  <c r="Z57" i="44"/>
  <c r="L57" i="44" s="1"/>
  <c r="K57" i="44"/>
  <c r="H57" i="44"/>
  <c r="I57" i="44" s="1"/>
  <c r="AA56" i="44"/>
  <c r="Z56" i="44"/>
  <c r="L56" i="44" s="1"/>
  <c r="K56" i="44"/>
  <c r="H56" i="44"/>
  <c r="I56" i="44" s="1"/>
  <c r="AA55" i="44"/>
  <c r="Z55" i="44"/>
  <c r="L55" i="44" s="1"/>
  <c r="K55" i="44"/>
  <c r="H55" i="44"/>
  <c r="I55" i="44" s="1"/>
  <c r="AA54" i="44"/>
  <c r="Z54" i="44"/>
  <c r="L54" i="44" s="1"/>
  <c r="K54" i="44"/>
  <c r="H54" i="44"/>
  <c r="I54" i="44" s="1"/>
  <c r="AA53" i="44"/>
  <c r="Z53" i="44"/>
  <c r="L53" i="44" s="1"/>
  <c r="K53" i="44"/>
  <c r="H53" i="44"/>
  <c r="I53" i="44" s="1"/>
  <c r="AA52" i="44"/>
  <c r="Z52" i="44"/>
  <c r="L52" i="44" s="1"/>
  <c r="K52" i="44"/>
  <c r="H52" i="44"/>
  <c r="I52" i="44" s="1"/>
  <c r="AA51" i="44"/>
  <c r="Z51" i="44"/>
  <c r="L51" i="44" s="1"/>
  <c r="K51" i="44"/>
  <c r="H51" i="44"/>
  <c r="I51" i="44" s="1"/>
  <c r="AA50" i="44"/>
  <c r="Z50" i="44"/>
  <c r="L50" i="44" s="1"/>
  <c r="K50" i="44"/>
  <c r="H50" i="44"/>
  <c r="I50" i="44" s="1"/>
  <c r="AA49" i="44"/>
  <c r="Z49" i="44"/>
  <c r="L49" i="44" s="1"/>
  <c r="K49" i="44"/>
  <c r="H49" i="44"/>
  <c r="I49" i="44" s="1"/>
  <c r="AA48" i="44"/>
  <c r="Z48" i="44"/>
  <c r="L48" i="44" s="1"/>
  <c r="K48" i="44"/>
  <c r="H48" i="44"/>
  <c r="I48" i="44" s="1"/>
  <c r="AA47" i="44"/>
  <c r="Z47" i="44"/>
  <c r="L47" i="44" s="1"/>
  <c r="K47" i="44"/>
  <c r="H47" i="44"/>
  <c r="I47" i="44" s="1"/>
  <c r="AA46" i="44"/>
  <c r="Z46" i="44"/>
  <c r="L46" i="44"/>
  <c r="K46" i="44"/>
  <c r="H46" i="44"/>
  <c r="I46" i="44" s="1"/>
  <c r="AA45" i="44"/>
  <c r="Z45" i="44"/>
  <c r="L45" i="44" s="1"/>
  <c r="K45" i="44"/>
  <c r="H45" i="44"/>
  <c r="I45" i="44" s="1"/>
  <c r="AA44" i="44"/>
  <c r="Z44" i="44"/>
  <c r="L44" i="44" s="1"/>
  <c r="K44" i="44"/>
  <c r="H44" i="44"/>
  <c r="I44" i="44" s="1"/>
  <c r="AA43" i="44"/>
  <c r="Z43" i="44"/>
  <c r="L43" i="44" s="1"/>
  <c r="K43" i="44"/>
  <c r="H43" i="44"/>
  <c r="I43" i="44" s="1"/>
  <c r="AA42" i="44"/>
  <c r="Z42" i="44"/>
  <c r="L42" i="44" s="1"/>
  <c r="K42" i="44"/>
  <c r="H42" i="44"/>
  <c r="I42" i="44" s="1"/>
  <c r="AA41" i="44"/>
  <c r="Z41" i="44"/>
  <c r="L41" i="44" s="1"/>
  <c r="K41" i="44"/>
  <c r="H41" i="44"/>
  <c r="I41" i="44" s="1"/>
  <c r="AA40" i="44"/>
  <c r="Z40" i="44"/>
  <c r="L40" i="44" s="1"/>
  <c r="K40" i="44"/>
  <c r="H40" i="44"/>
  <c r="I40" i="44" s="1"/>
  <c r="AA39" i="44"/>
  <c r="Z39" i="44"/>
  <c r="L39" i="44" s="1"/>
  <c r="K39" i="44"/>
  <c r="H39" i="44"/>
  <c r="I39" i="44" s="1"/>
  <c r="AA38" i="44"/>
  <c r="Z38" i="44"/>
  <c r="L38" i="44" s="1"/>
  <c r="K38" i="44"/>
  <c r="H38" i="44"/>
  <c r="I38" i="44" s="1"/>
  <c r="AA37" i="44"/>
  <c r="Z37" i="44"/>
  <c r="L37" i="44" s="1"/>
  <c r="K37" i="44"/>
  <c r="H37" i="44"/>
  <c r="I37" i="44" s="1"/>
  <c r="AA36" i="44"/>
  <c r="Z36" i="44"/>
  <c r="L36" i="44" s="1"/>
  <c r="K36" i="44"/>
  <c r="H36" i="44"/>
  <c r="I36" i="44" s="1"/>
  <c r="AA35" i="44"/>
  <c r="Z35" i="44"/>
  <c r="L35" i="44" s="1"/>
  <c r="K35" i="44"/>
  <c r="H35" i="44"/>
  <c r="I35" i="44" s="1"/>
  <c r="AA34" i="44"/>
  <c r="Z34" i="44"/>
  <c r="L34" i="44" s="1"/>
  <c r="K34" i="44"/>
  <c r="H34" i="44"/>
  <c r="I34" i="44" s="1"/>
  <c r="AA33" i="44"/>
  <c r="Z33" i="44"/>
  <c r="L33" i="44" s="1"/>
  <c r="K33" i="44"/>
  <c r="H33" i="44"/>
  <c r="I33" i="44" s="1"/>
  <c r="AA32" i="44"/>
  <c r="Z32" i="44"/>
  <c r="H32" i="44"/>
  <c r="I32" i="44" s="1"/>
  <c r="K32" i="44" s="1"/>
  <c r="AA31" i="44"/>
  <c r="Z31" i="44"/>
  <c r="L31" i="44" s="1"/>
  <c r="K31" i="44"/>
  <c r="H31" i="44"/>
  <c r="I31" i="44" s="1"/>
  <c r="AA30" i="44"/>
  <c r="Z30" i="44"/>
  <c r="L30" i="44" s="1"/>
  <c r="H30" i="44"/>
  <c r="I30" i="44" s="1"/>
  <c r="AA22" i="44"/>
  <c r="Z22" i="44"/>
  <c r="AA15" i="44"/>
  <c r="Z15" i="44"/>
  <c r="AD2" i="44" s="1"/>
  <c r="B14" i="44"/>
  <c r="AA9" i="44"/>
  <c r="Z9" i="44"/>
  <c r="AC2" i="44" s="1"/>
  <c r="AE2" i="44"/>
  <c r="L2" i="44"/>
  <c r="AA74" i="43"/>
  <c r="Z74" i="43"/>
  <c r="L74" i="43" s="1"/>
  <c r="K74" i="43"/>
  <c r="H74" i="43"/>
  <c r="I74" i="43" s="1"/>
  <c r="AA73" i="43"/>
  <c r="Z73" i="43"/>
  <c r="L73" i="43" s="1"/>
  <c r="K73" i="43"/>
  <c r="H73" i="43"/>
  <c r="I73" i="43" s="1"/>
  <c r="AA72" i="43"/>
  <c r="Z72" i="43"/>
  <c r="L72" i="43" s="1"/>
  <c r="K72" i="43"/>
  <c r="H72" i="43"/>
  <c r="I72" i="43" s="1"/>
  <c r="AA71" i="43"/>
  <c r="Z71" i="43"/>
  <c r="L71" i="43" s="1"/>
  <c r="K71" i="43"/>
  <c r="H71" i="43"/>
  <c r="I71" i="43" s="1"/>
  <c r="AA70" i="43"/>
  <c r="Z70" i="43"/>
  <c r="L70" i="43" s="1"/>
  <c r="K70" i="43"/>
  <c r="H70" i="43"/>
  <c r="I70" i="43" s="1"/>
  <c r="AA69" i="43"/>
  <c r="Z69" i="43"/>
  <c r="L69" i="43" s="1"/>
  <c r="K69" i="43"/>
  <c r="H69" i="43"/>
  <c r="I69" i="43" s="1"/>
  <c r="AA68" i="43"/>
  <c r="Z68" i="43"/>
  <c r="L68" i="43" s="1"/>
  <c r="K68" i="43"/>
  <c r="H68" i="43"/>
  <c r="I68" i="43" s="1"/>
  <c r="AA67" i="43"/>
  <c r="Z67" i="43"/>
  <c r="L67" i="43" s="1"/>
  <c r="K67" i="43"/>
  <c r="H67" i="43"/>
  <c r="I67" i="43" s="1"/>
  <c r="AA66" i="43"/>
  <c r="Z66" i="43"/>
  <c r="L66" i="43"/>
  <c r="K66" i="43"/>
  <c r="H66" i="43"/>
  <c r="I66" i="43" s="1"/>
  <c r="AA65" i="43"/>
  <c r="Z65" i="43"/>
  <c r="L65" i="43" s="1"/>
  <c r="K65" i="43"/>
  <c r="H65" i="43"/>
  <c r="I65" i="43" s="1"/>
  <c r="AA64" i="43"/>
  <c r="Z64" i="43"/>
  <c r="L64" i="43" s="1"/>
  <c r="K64" i="43"/>
  <c r="I64" i="43"/>
  <c r="H64" i="43"/>
  <c r="AA63" i="43"/>
  <c r="Z63" i="43"/>
  <c r="L63" i="43" s="1"/>
  <c r="K63" i="43"/>
  <c r="H63" i="43"/>
  <c r="I63" i="43" s="1"/>
  <c r="AA62" i="43"/>
  <c r="Z62" i="43"/>
  <c r="L62" i="43" s="1"/>
  <c r="K62" i="43"/>
  <c r="H62" i="43"/>
  <c r="I62" i="43" s="1"/>
  <c r="AA61" i="43"/>
  <c r="Z61" i="43"/>
  <c r="L61" i="43"/>
  <c r="K61" i="43"/>
  <c r="H61" i="43"/>
  <c r="I61" i="43" s="1"/>
  <c r="AA60" i="43"/>
  <c r="Z60" i="43"/>
  <c r="L60" i="43" s="1"/>
  <c r="K60" i="43"/>
  <c r="H60" i="43"/>
  <c r="I60" i="43" s="1"/>
  <c r="AA59" i="43"/>
  <c r="Z59" i="43"/>
  <c r="L59" i="43" s="1"/>
  <c r="K59" i="43"/>
  <c r="H59" i="43"/>
  <c r="I59" i="43" s="1"/>
  <c r="AA58" i="43"/>
  <c r="Z58" i="43"/>
  <c r="L58" i="43" s="1"/>
  <c r="K58" i="43"/>
  <c r="H58" i="43"/>
  <c r="I58" i="43" s="1"/>
  <c r="AA57" i="43"/>
  <c r="Z57" i="43"/>
  <c r="L57" i="43" s="1"/>
  <c r="K57" i="43"/>
  <c r="H57" i="43"/>
  <c r="I57" i="43" s="1"/>
  <c r="AA56" i="43"/>
  <c r="Z56" i="43"/>
  <c r="L56" i="43" s="1"/>
  <c r="K56" i="43"/>
  <c r="H56" i="43"/>
  <c r="I56" i="43" s="1"/>
  <c r="AA55" i="43"/>
  <c r="Z55" i="43"/>
  <c r="L55" i="43" s="1"/>
  <c r="K55" i="43"/>
  <c r="H55" i="43"/>
  <c r="I55" i="43" s="1"/>
  <c r="AA54" i="43"/>
  <c r="Z54" i="43"/>
  <c r="L54" i="43" s="1"/>
  <c r="K54" i="43"/>
  <c r="H54" i="43"/>
  <c r="I54" i="43" s="1"/>
  <c r="AA53" i="43"/>
  <c r="Z53" i="43"/>
  <c r="L53" i="43" s="1"/>
  <c r="K53" i="43"/>
  <c r="H53" i="43"/>
  <c r="I53" i="43" s="1"/>
  <c r="AA52" i="43"/>
  <c r="Z52" i="43"/>
  <c r="L52" i="43" s="1"/>
  <c r="K52" i="43"/>
  <c r="H52" i="43"/>
  <c r="I52" i="43" s="1"/>
  <c r="AA51" i="43"/>
  <c r="Z51" i="43"/>
  <c r="L51" i="43" s="1"/>
  <c r="K51" i="43"/>
  <c r="H51" i="43"/>
  <c r="I51" i="43" s="1"/>
  <c r="AA50" i="43"/>
  <c r="Z50" i="43"/>
  <c r="L50" i="43" s="1"/>
  <c r="K50" i="43"/>
  <c r="H50" i="43"/>
  <c r="I50" i="43" s="1"/>
  <c r="AA49" i="43"/>
  <c r="Z49" i="43"/>
  <c r="L49" i="43" s="1"/>
  <c r="K49" i="43"/>
  <c r="H49" i="43"/>
  <c r="I49" i="43" s="1"/>
  <c r="AA48" i="43"/>
  <c r="Z48" i="43"/>
  <c r="L48" i="43" s="1"/>
  <c r="K48" i="43"/>
  <c r="H48" i="43"/>
  <c r="I48" i="43" s="1"/>
  <c r="AA47" i="43"/>
  <c r="Z47" i="43"/>
  <c r="L47" i="43" s="1"/>
  <c r="K47" i="43"/>
  <c r="H47" i="43"/>
  <c r="I47" i="43" s="1"/>
  <c r="AA46" i="43"/>
  <c r="Z46" i="43"/>
  <c r="L46" i="43" s="1"/>
  <c r="K46" i="43"/>
  <c r="H46" i="43"/>
  <c r="I46" i="43" s="1"/>
  <c r="AA45" i="43"/>
  <c r="Z45" i="43"/>
  <c r="L45" i="43" s="1"/>
  <c r="K45" i="43"/>
  <c r="H45" i="43"/>
  <c r="I45" i="43" s="1"/>
  <c r="AA44" i="43"/>
  <c r="Z44" i="43"/>
  <c r="L44" i="43" s="1"/>
  <c r="K44" i="43"/>
  <c r="H44" i="43"/>
  <c r="I44" i="43" s="1"/>
  <c r="AA43" i="43"/>
  <c r="Z43" i="43"/>
  <c r="L43" i="43" s="1"/>
  <c r="K43" i="43"/>
  <c r="H43" i="43"/>
  <c r="I43" i="43" s="1"/>
  <c r="AA42" i="43"/>
  <c r="Z42" i="43"/>
  <c r="L42" i="43" s="1"/>
  <c r="K42" i="43"/>
  <c r="H42" i="43"/>
  <c r="I42" i="43" s="1"/>
  <c r="AA41" i="43"/>
  <c r="Z41" i="43"/>
  <c r="L41" i="43" s="1"/>
  <c r="K41" i="43"/>
  <c r="H41" i="43"/>
  <c r="I41" i="43" s="1"/>
  <c r="AA40" i="43"/>
  <c r="Z40" i="43"/>
  <c r="L40" i="43" s="1"/>
  <c r="K40" i="43"/>
  <c r="H40" i="43"/>
  <c r="I40" i="43" s="1"/>
  <c r="AA39" i="43"/>
  <c r="Z39" i="43"/>
  <c r="L39" i="43" s="1"/>
  <c r="K39" i="43"/>
  <c r="H39" i="43"/>
  <c r="I39" i="43" s="1"/>
  <c r="AA38" i="43"/>
  <c r="Z38" i="43"/>
  <c r="L38" i="43" s="1"/>
  <c r="K38" i="43"/>
  <c r="H38" i="43"/>
  <c r="I38" i="43" s="1"/>
  <c r="AA37" i="43"/>
  <c r="Z37" i="43"/>
  <c r="L37" i="43" s="1"/>
  <c r="K37" i="43"/>
  <c r="H37" i="43"/>
  <c r="I37" i="43" s="1"/>
  <c r="AA36" i="43"/>
  <c r="Z36" i="43"/>
  <c r="L36" i="43" s="1"/>
  <c r="K36" i="43"/>
  <c r="H36" i="43"/>
  <c r="I36" i="43" s="1"/>
  <c r="AA35" i="43"/>
  <c r="Z35" i="43"/>
  <c r="L35" i="43" s="1"/>
  <c r="K35" i="43"/>
  <c r="H35" i="43"/>
  <c r="I35" i="43" s="1"/>
  <c r="AA34" i="43"/>
  <c r="Z34" i="43"/>
  <c r="L34" i="43"/>
  <c r="K34" i="43"/>
  <c r="H34" i="43"/>
  <c r="I34" i="43" s="1"/>
  <c r="AA33" i="43"/>
  <c r="Z33" i="43"/>
  <c r="L33" i="43" s="1"/>
  <c r="K33" i="43"/>
  <c r="H33" i="43"/>
  <c r="I33" i="43" s="1"/>
  <c r="AA32" i="43"/>
  <c r="Z32" i="43"/>
  <c r="H32" i="43"/>
  <c r="I32" i="43" s="1"/>
  <c r="K32" i="43" s="1"/>
  <c r="AA31" i="43"/>
  <c r="Z31" i="43"/>
  <c r="K31" i="43"/>
  <c r="H31" i="43"/>
  <c r="I31" i="43" s="1"/>
  <c r="AA30" i="43"/>
  <c r="Z30" i="43"/>
  <c r="L30" i="43" s="1"/>
  <c r="H30" i="43"/>
  <c r="I30" i="43" s="1"/>
  <c r="AA22" i="43"/>
  <c r="Z22" i="43"/>
  <c r="AE2" i="43" s="1"/>
  <c r="AA15" i="43"/>
  <c r="Z15" i="43"/>
  <c r="B14" i="43"/>
  <c r="AA9" i="43"/>
  <c r="Z9" i="43"/>
  <c r="AD2" i="43"/>
  <c r="AC2" i="43"/>
  <c r="L2" i="43"/>
  <c r="AA74" i="42"/>
  <c r="Z74" i="42"/>
  <c r="L74" i="42" s="1"/>
  <c r="K74" i="42"/>
  <c r="H74" i="42"/>
  <c r="I74" i="42" s="1"/>
  <c r="AA73" i="42"/>
  <c r="Z73" i="42"/>
  <c r="L73" i="42" s="1"/>
  <c r="K73" i="42"/>
  <c r="H73" i="42"/>
  <c r="I73" i="42" s="1"/>
  <c r="AA72" i="42"/>
  <c r="Z72" i="42"/>
  <c r="L72" i="42" s="1"/>
  <c r="K72" i="42"/>
  <c r="H72" i="42"/>
  <c r="I72" i="42" s="1"/>
  <c r="AA71" i="42"/>
  <c r="Z71" i="42"/>
  <c r="L71" i="42"/>
  <c r="K71" i="42"/>
  <c r="H71" i="42"/>
  <c r="I71" i="42" s="1"/>
  <c r="AA70" i="42"/>
  <c r="Z70" i="42"/>
  <c r="L70" i="42" s="1"/>
  <c r="K70" i="42"/>
  <c r="H70" i="42"/>
  <c r="I70" i="42" s="1"/>
  <c r="AA69" i="42"/>
  <c r="Z69" i="42"/>
  <c r="L69" i="42" s="1"/>
  <c r="K69" i="42"/>
  <c r="H69" i="42"/>
  <c r="I69" i="42" s="1"/>
  <c r="AA68" i="42"/>
  <c r="Z68" i="42"/>
  <c r="L68" i="42" s="1"/>
  <c r="K68" i="42"/>
  <c r="H68" i="42"/>
  <c r="I68" i="42" s="1"/>
  <c r="AA67" i="42"/>
  <c r="Z67" i="42"/>
  <c r="L67" i="42"/>
  <c r="K67" i="42"/>
  <c r="H67" i="42"/>
  <c r="I67" i="42" s="1"/>
  <c r="AA66" i="42"/>
  <c r="Z66" i="42"/>
  <c r="L66" i="42" s="1"/>
  <c r="K66" i="42"/>
  <c r="H66" i="42"/>
  <c r="I66" i="42" s="1"/>
  <c r="AA65" i="42"/>
  <c r="Z65" i="42"/>
  <c r="L65" i="42" s="1"/>
  <c r="K65" i="42"/>
  <c r="H65" i="42"/>
  <c r="I65" i="42" s="1"/>
  <c r="AA64" i="42"/>
  <c r="Z64" i="42"/>
  <c r="L64" i="42" s="1"/>
  <c r="K64" i="42"/>
  <c r="H64" i="42"/>
  <c r="I64" i="42" s="1"/>
  <c r="AA63" i="42"/>
  <c r="Z63" i="42"/>
  <c r="L63" i="42"/>
  <c r="K63" i="42"/>
  <c r="H63" i="42"/>
  <c r="I63" i="42" s="1"/>
  <c r="AA62" i="42"/>
  <c r="Z62" i="42"/>
  <c r="L62" i="42" s="1"/>
  <c r="K62" i="42"/>
  <c r="H62" i="42"/>
  <c r="I62" i="42" s="1"/>
  <c r="AA61" i="42"/>
  <c r="Z61" i="42"/>
  <c r="L61" i="42" s="1"/>
  <c r="K61" i="42"/>
  <c r="H61" i="42"/>
  <c r="I61" i="42" s="1"/>
  <c r="AA60" i="42"/>
  <c r="Z60" i="42"/>
  <c r="L60" i="42" s="1"/>
  <c r="K60" i="42"/>
  <c r="H60" i="42"/>
  <c r="I60" i="42" s="1"/>
  <c r="AA59" i="42"/>
  <c r="Z59" i="42"/>
  <c r="L59" i="42"/>
  <c r="K59" i="42"/>
  <c r="H59" i="42"/>
  <c r="I59" i="42" s="1"/>
  <c r="AA58" i="42"/>
  <c r="Z58" i="42"/>
  <c r="L58" i="42" s="1"/>
  <c r="K58" i="42"/>
  <c r="H58" i="42"/>
  <c r="I58" i="42" s="1"/>
  <c r="AA57" i="42"/>
  <c r="Z57" i="42"/>
  <c r="L57" i="42" s="1"/>
  <c r="K57" i="42"/>
  <c r="H57" i="42"/>
  <c r="I57" i="42" s="1"/>
  <c r="AA56" i="42"/>
  <c r="Z56" i="42"/>
  <c r="L56" i="42" s="1"/>
  <c r="K56" i="42"/>
  <c r="H56" i="42"/>
  <c r="I56" i="42" s="1"/>
  <c r="AA55" i="42"/>
  <c r="Z55" i="42"/>
  <c r="L55" i="42"/>
  <c r="K55" i="42"/>
  <c r="H55" i="42"/>
  <c r="I55" i="42" s="1"/>
  <c r="AA54" i="42"/>
  <c r="Z54" i="42"/>
  <c r="L54" i="42" s="1"/>
  <c r="K54" i="42"/>
  <c r="H54" i="42"/>
  <c r="I54" i="42" s="1"/>
  <c r="AA53" i="42"/>
  <c r="Z53" i="42"/>
  <c r="L53" i="42" s="1"/>
  <c r="K53" i="42"/>
  <c r="H53" i="42"/>
  <c r="I53" i="42" s="1"/>
  <c r="AA52" i="42"/>
  <c r="Z52" i="42"/>
  <c r="L52" i="42" s="1"/>
  <c r="K52" i="42"/>
  <c r="H52" i="42"/>
  <c r="I52" i="42" s="1"/>
  <c r="AA51" i="42"/>
  <c r="Z51" i="42"/>
  <c r="L51" i="42"/>
  <c r="K51" i="42"/>
  <c r="H51" i="42"/>
  <c r="I51" i="42" s="1"/>
  <c r="AA50" i="42"/>
  <c r="Z50" i="42"/>
  <c r="L50" i="42" s="1"/>
  <c r="K50" i="42"/>
  <c r="H50" i="42"/>
  <c r="I50" i="42" s="1"/>
  <c r="AA49" i="42"/>
  <c r="Z49" i="42"/>
  <c r="L49" i="42" s="1"/>
  <c r="K49" i="42"/>
  <c r="H49" i="42"/>
  <c r="I49" i="42" s="1"/>
  <c r="AA48" i="42"/>
  <c r="Z48" i="42"/>
  <c r="L48" i="42" s="1"/>
  <c r="K48" i="42"/>
  <c r="H48" i="42"/>
  <c r="I48" i="42" s="1"/>
  <c r="AA47" i="42"/>
  <c r="Z47" i="42"/>
  <c r="L47" i="42"/>
  <c r="K47" i="42"/>
  <c r="H47" i="42"/>
  <c r="I47" i="42" s="1"/>
  <c r="AA46" i="42"/>
  <c r="Z46" i="42"/>
  <c r="L46" i="42" s="1"/>
  <c r="K46" i="42"/>
  <c r="H46" i="42"/>
  <c r="I46" i="42" s="1"/>
  <c r="AA45" i="42"/>
  <c r="Z45" i="42"/>
  <c r="L45" i="42" s="1"/>
  <c r="K45" i="42"/>
  <c r="H45" i="42"/>
  <c r="I45" i="42" s="1"/>
  <c r="AA44" i="42"/>
  <c r="Z44" i="42"/>
  <c r="L44" i="42" s="1"/>
  <c r="K44" i="42"/>
  <c r="H44" i="42"/>
  <c r="I44" i="42" s="1"/>
  <c r="AA43" i="42"/>
  <c r="Z43" i="42"/>
  <c r="L43" i="42"/>
  <c r="K43" i="42"/>
  <c r="H43" i="42"/>
  <c r="I43" i="42" s="1"/>
  <c r="AA42" i="42"/>
  <c r="Z42" i="42"/>
  <c r="L42" i="42" s="1"/>
  <c r="K42" i="42"/>
  <c r="H42" i="42"/>
  <c r="I42" i="42" s="1"/>
  <c r="AA41" i="42"/>
  <c r="Z41" i="42"/>
  <c r="L41" i="42" s="1"/>
  <c r="K41" i="42"/>
  <c r="H41" i="42"/>
  <c r="I41" i="42" s="1"/>
  <c r="AA40" i="42"/>
  <c r="Z40" i="42"/>
  <c r="L40" i="42" s="1"/>
  <c r="K40" i="42"/>
  <c r="H40" i="42"/>
  <c r="I40" i="42" s="1"/>
  <c r="AA39" i="42"/>
  <c r="Z39" i="42"/>
  <c r="L39" i="42"/>
  <c r="K39" i="42"/>
  <c r="H39" i="42"/>
  <c r="I39" i="42" s="1"/>
  <c r="AA38" i="42"/>
  <c r="Z38" i="42"/>
  <c r="L38" i="42" s="1"/>
  <c r="K38" i="42"/>
  <c r="H38" i="42"/>
  <c r="I38" i="42" s="1"/>
  <c r="AA37" i="42"/>
  <c r="Z37" i="42"/>
  <c r="L37" i="42" s="1"/>
  <c r="K37" i="42"/>
  <c r="H37" i="42"/>
  <c r="I37" i="42" s="1"/>
  <c r="AA36" i="42"/>
  <c r="Z36" i="42"/>
  <c r="L36" i="42" s="1"/>
  <c r="K36" i="42"/>
  <c r="H36" i="42"/>
  <c r="I36" i="42" s="1"/>
  <c r="AA35" i="42"/>
  <c r="Z35" i="42"/>
  <c r="L35" i="42"/>
  <c r="K35" i="42"/>
  <c r="H35" i="42"/>
  <c r="I35" i="42" s="1"/>
  <c r="AA34" i="42"/>
  <c r="Z34" i="42"/>
  <c r="L34" i="42" s="1"/>
  <c r="K34" i="42"/>
  <c r="H34" i="42"/>
  <c r="I34" i="42" s="1"/>
  <c r="AA33" i="42"/>
  <c r="Z33" i="42"/>
  <c r="L33" i="42" s="1"/>
  <c r="K33" i="42"/>
  <c r="H33" i="42"/>
  <c r="I33" i="42" s="1"/>
  <c r="AA32" i="42"/>
  <c r="Z32" i="42"/>
  <c r="H32" i="42"/>
  <c r="I32" i="42" s="1"/>
  <c r="K32" i="42" s="1"/>
  <c r="AA31" i="42"/>
  <c r="Z31" i="42"/>
  <c r="L31" i="42" s="1"/>
  <c r="K31" i="42"/>
  <c r="H31" i="42"/>
  <c r="I31" i="42" s="1"/>
  <c r="AA30" i="42"/>
  <c r="Z30" i="42"/>
  <c r="L30" i="42" s="1"/>
  <c r="H30" i="42"/>
  <c r="I30" i="42" s="1"/>
  <c r="AA22" i="42"/>
  <c r="Z22" i="42"/>
  <c r="AE2" i="42" s="1"/>
  <c r="AA15" i="42"/>
  <c r="Z15" i="42"/>
  <c r="AD2" i="42" s="1"/>
  <c r="B14" i="42"/>
  <c r="AA9" i="42"/>
  <c r="Z9" i="42"/>
  <c r="AC2" i="42"/>
  <c r="L2" i="42"/>
  <c r="AA74" i="41"/>
  <c r="Z74" i="41"/>
  <c r="L74" i="41" s="1"/>
  <c r="K74" i="41"/>
  <c r="H74" i="41"/>
  <c r="I74" i="41" s="1"/>
  <c r="AA73" i="41"/>
  <c r="Z73" i="41"/>
  <c r="L73" i="41" s="1"/>
  <c r="K73" i="41"/>
  <c r="H73" i="41"/>
  <c r="I73" i="41" s="1"/>
  <c r="AA72" i="41"/>
  <c r="Z72" i="41"/>
  <c r="L72" i="41" s="1"/>
  <c r="K72" i="41"/>
  <c r="I72" i="41"/>
  <c r="H72" i="41"/>
  <c r="AA71" i="41"/>
  <c r="Z71" i="41"/>
  <c r="L71" i="41"/>
  <c r="K71" i="41"/>
  <c r="H71" i="41"/>
  <c r="I71" i="41" s="1"/>
  <c r="AA70" i="41"/>
  <c r="Z70" i="41"/>
  <c r="L70" i="41" s="1"/>
  <c r="K70" i="41"/>
  <c r="H70" i="41"/>
  <c r="I70" i="41" s="1"/>
  <c r="AA69" i="41"/>
  <c r="Z69" i="41"/>
  <c r="L69" i="41" s="1"/>
  <c r="K69" i="41"/>
  <c r="H69" i="41"/>
  <c r="I69" i="41" s="1"/>
  <c r="AA68" i="41"/>
  <c r="Z68" i="41"/>
  <c r="L68" i="41" s="1"/>
  <c r="K68" i="41"/>
  <c r="H68" i="41"/>
  <c r="I68" i="41" s="1"/>
  <c r="AA67" i="41"/>
  <c r="Z67" i="41"/>
  <c r="L67" i="41" s="1"/>
  <c r="K67" i="41"/>
  <c r="H67" i="41"/>
  <c r="I67" i="41" s="1"/>
  <c r="AA66" i="41"/>
  <c r="Z66" i="41"/>
  <c r="L66" i="41" s="1"/>
  <c r="K66" i="41"/>
  <c r="H66" i="41"/>
  <c r="I66" i="41" s="1"/>
  <c r="AA65" i="41"/>
  <c r="Z65" i="41"/>
  <c r="L65" i="41" s="1"/>
  <c r="K65" i="41"/>
  <c r="H65" i="41"/>
  <c r="I65" i="41" s="1"/>
  <c r="AA64" i="41"/>
  <c r="Z64" i="41"/>
  <c r="L64" i="41" s="1"/>
  <c r="K64" i="41"/>
  <c r="I64" i="41"/>
  <c r="H64" i="41"/>
  <c r="AA63" i="41"/>
  <c r="Z63" i="41"/>
  <c r="L63" i="41"/>
  <c r="K63" i="41"/>
  <c r="H63" i="41"/>
  <c r="I63" i="41" s="1"/>
  <c r="AA62" i="41"/>
  <c r="Z62" i="41"/>
  <c r="L62" i="41" s="1"/>
  <c r="K62" i="41"/>
  <c r="H62" i="41"/>
  <c r="I62" i="41" s="1"/>
  <c r="AA61" i="41"/>
  <c r="Z61" i="41"/>
  <c r="L61" i="41" s="1"/>
  <c r="K61" i="41"/>
  <c r="H61" i="41"/>
  <c r="I61" i="41" s="1"/>
  <c r="AA60" i="41"/>
  <c r="Z60" i="41"/>
  <c r="L60" i="41" s="1"/>
  <c r="K60" i="41"/>
  <c r="H60" i="41"/>
  <c r="I60" i="41" s="1"/>
  <c r="AA59" i="41"/>
  <c r="Z59" i="41"/>
  <c r="L59" i="41" s="1"/>
  <c r="K59" i="41"/>
  <c r="H59" i="41"/>
  <c r="I59" i="41" s="1"/>
  <c r="AA58" i="41"/>
  <c r="Z58" i="41"/>
  <c r="L58" i="41" s="1"/>
  <c r="K58" i="41"/>
  <c r="H58" i="41"/>
  <c r="I58" i="41" s="1"/>
  <c r="AA57" i="41"/>
  <c r="Z57" i="41"/>
  <c r="L57" i="41" s="1"/>
  <c r="K57" i="41"/>
  <c r="H57" i="41"/>
  <c r="I57" i="41" s="1"/>
  <c r="AA56" i="41"/>
  <c r="Z56" i="41"/>
  <c r="L56" i="41" s="1"/>
  <c r="K56" i="41"/>
  <c r="I56" i="41"/>
  <c r="H56" i="41"/>
  <c r="AA55" i="41"/>
  <c r="Z55" i="41"/>
  <c r="L55" i="41"/>
  <c r="K55" i="41"/>
  <c r="H55" i="41"/>
  <c r="I55" i="41" s="1"/>
  <c r="AA54" i="41"/>
  <c r="Z54" i="41"/>
  <c r="L54" i="41" s="1"/>
  <c r="K54" i="41"/>
  <c r="H54" i="41"/>
  <c r="I54" i="41" s="1"/>
  <c r="AA53" i="41"/>
  <c r="Z53" i="41"/>
  <c r="L53" i="41" s="1"/>
  <c r="K53" i="41"/>
  <c r="H53" i="41"/>
  <c r="I53" i="41" s="1"/>
  <c r="AA52" i="41"/>
  <c r="Z52" i="41"/>
  <c r="L52" i="41" s="1"/>
  <c r="K52" i="41"/>
  <c r="H52" i="41"/>
  <c r="I52" i="41" s="1"/>
  <c r="AA51" i="41"/>
  <c r="Z51" i="41"/>
  <c r="L51" i="41" s="1"/>
  <c r="K51" i="41"/>
  <c r="H51" i="41"/>
  <c r="I51" i="41" s="1"/>
  <c r="AA50" i="41"/>
  <c r="Z50" i="41"/>
  <c r="L50" i="41" s="1"/>
  <c r="K50" i="41"/>
  <c r="H50" i="41"/>
  <c r="I50" i="41" s="1"/>
  <c r="AA49" i="41"/>
  <c r="Z49" i="41"/>
  <c r="L49" i="41" s="1"/>
  <c r="K49" i="41"/>
  <c r="H49" i="41"/>
  <c r="I49" i="41" s="1"/>
  <c r="AA48" i="41"/>
  <c r="Z48" i="41"/>
  <c r="L48" i="41" s="1"/>
  <c r="K48" i="41"/>
  <c r="I48" i="41"/>
  <c r="H48" i="41"/>
  <c r="AA47" i="41"/>
  <c r="Z47" i="41"/>
  <c r="L47" i="41"/>
  <c r="K47" i="41"/>
  <c r="H47" i="41"/>
  <c r="I47" i="41" s="1"/>
  <c r="AA46" i="41"/>
  <c r="Z46" i="41"/>
  <c r="L46" i="41" s="1"/>
  <c r="K46" i="41"/>
  <c r="H46" i="41"/>
  <c r="I46" i="41" s="1"/>
  <c r="AA45" i="41"/>
  <c r="Z45" i="41"/>
  <c r="L45" i="41" s="1"/>
  <c r="K45" i="41"/>
  <c r="H45" i="41"/>
  <c r="I45" i="41" s="1"/>
  <c r="AA44" i="41"/>
  <c r="Z44" i="41"/>
  <c r="L44" i="41" s="1"/>
  <c r="K44" i="41"/>
  <c r="H44" i="41"/>
  <c r="I44" i="41" s="1"/>
  <c r="AA43" i="41"/>
  <c r="Z43" i="41"/>
  <c r="L43" i="41" s="1"/>
  <c r="K43" i="41"/>
  <c r="H43" i="41"/>
  <c r="I43" i="41" s="1"/>
  <c r="AA42" i="41"/>
  <c r="Z42" i="41"/>
  <c r="L42" i="41" s="1"/>
  <c r="K42" i="41"/>
  <c r="H42" i="41"/>
  <c r="I42" i="41" s="1"/>
  <c r="AA41" i="41"/>
  <c r="Z41" i="41"/>
  <c r="L41" i="41" s="1"/>
  <c r="K41" i="41"/>
  <c r="H41" i="41"/>
  <c r="I41" i="41" s="1"/>
  <c r="AA40" i="41"/>
  <c r="Z40" i="41"/>
  <c r="L40" i="41" s="1"/>
  <c r="K40" i="41"/>
  <c r="I40" i="41"/>
  <c r="H40" i="41"/>
  <c r="AA39" i="41"/>
  <c r="Z39" i="41"/>
  <c r="L39" i="41"/>
  <c r="K39" i="41"/>
  <c r="H39" i="41"/>
  <c r="I39" i="41" s="1"/>
  <c r="AA38" i="41"/>
  <c r="Z38" i="41"/>
  <c r="L38" i="41" s="1"/>
  <c r="K38" i="41"/>
  <c r="H38" i="41"/>
  <c r="I38" i="41" s="1"/>
  <c r="AA37" i="41"/>
  <c r="Z37" i="41"/>
  <c r="L37" i="41" s="1"/>
  <c r="K37" i="41"/>
  <c r="H37" i="41"/>
  <c r="I37" i="41" s="1"/>
  <c r="AA36" i="41"/>
  <c r="Z36" i="41"/>
  <c r="L36" i="41" s="1"/>
  <c r="K36" i="41"/>
  <c r="H36" i="41"/>
  <c r="I36" i="41" s="1"/>
  <c r="AA35" i="41"/>
  <c r="Z35" i="41"/>
  <c r="L35" i="41" s="1"/>
  <c r="K35" i="41"/>
  <c r="H35" i="41"/>
  <c r="I35" i="41" s="1"/>
  <c r="AA34" i="41"/>
  <c r="Z34" i="41"/>
  <c r="L34" i="41" s="1"/>
  <c r="K34" i="41"/>
  <c r="H34" i="41"/>
  <c r="I34" i="41" s="1"/>
  <c r="AA33" i="41"/>
  <c r="Z33" i="41"/>
  <c r="L33" i="41" s="1"/>
  <c r="K33" i="41"/>
  <c r="H33" i="41"/>
  <c r="I33" i="41" s="1"/>
  <c r="AA32" i="41"/>
  <c r="Z32" i="41"/>
  <c r="H32" i="41"/>
  <c r="I32" i="41" s="1"/>
  <c r="K32" i="41" s="1"/>
  <c r="AA31" i="41"/>
  <c r="Z31" i="41"/>
  <c r="L31" i="41" s="1"/>
  <c r="K31" i="41"/>
  <c r="H31" i="41"/>
  <c r="I31" i="41" s="1"/>
  <c r="AA30" i="41"/>
  <c r="Z30" i="41"/>
  <c r="L30" i="41" s="1"/>
  <c r="H30" i="41"/>
  <c r="I30" i="41" s="1"/>
  <c r="AA22" i="41"/>
  <c r="Z22" i="41"/>
  <c r="AE2" i="41" s="1"/>
  <c r="AA15" i="41"/>
  <c r="Z15" i="41"/>
  <c r="AD2" i="41" s="1"/>
  <c r="B14" i="41"/>
  <c r="AA9" i="41"/>
  <c r="Z9" i="41"/>
  <c r="AC2" i="41" s="1"/>
  <c r="L2" i="41"/>
  <c r="AA74" i="40"/>
  <c r="Z74" i="40"/>
  <c r="L74" i="40" s="1"/>
  <c r="K74" i="40"/>
  <c r="H74" i="40"/>
  <c r="I74" i="40" s="1"/>
  <c r="AA73" i="40"/>
  <c r="Z73" i="40"/>
  <c r="L73" i="40" s="1"/>
  <c r="K73" i="40"/>
  <c r="H73" i="40"/>
  <c r="I73" i="40" s="1"/>
  <c r="AA72" i="40"/>
  <c r="Z72" i="40"/>
  <c r="L72" i="40" s="1"/>
  <c r="K72" i="40"/>
  <c r="H72" i="40"/>
  <c r="I72" i="40" s="1"/>
  <c r="AA71" i="40"/>
  <c r="Z71" i="40"/>
  <c r="L71" i="40" s="1"/>
  <c r="K71" i="40"/>
  <c r="H71" i="40"/>
  <c r="I71" i="40" s="1"/>
  <c r="AA70" i="40"/>
  <c r="Z70" i="40"/>
  <c r="L70" i="40" s="1"/>
  <c r="K70" i="40"/>
  <c r="H70" i="40"/>
  <c r="I70" i="40" s="1"/>
  <c r="AA69" i="40"/>
  <c r="Z69" i="40"/>
  <c r="L69" i="40" s="1"/>
  <c r="K69" i="40"/>
  <c r="H69" i="40"/>
  <c r="I69" i="40" s="1"/>
  <c r="AA68" i="40"/>
  <c r="Z68" i="40"/>
  <c r="L68" i="40" s="1"/>
  <c r="K68" i="40"/>
  <c r="H68" i="40"/>
  <c r="I68" i="40" s="1"/>
  <c r="AA67" i="40"/>
  <c r="Z67" i="40"/>
  <c r="L67" i="40" s="1"/>
  <c r="K67" i="40"/>
  <c r="H67" i="40"/>
  <c r="I67" i="40" s="1"/>
  <c r="AA66" i="40"/>
  <c r="Z66" i="40"/>
  <c r="L66" i="40"/>
  <c r="K66" i="40"/>
  <c r="H66" i="40"/>
  <c r="I66" i="40" s="1"/>
  <c r="AA65" i="40"/>
  <c r="Z65" i="40"/>
  <c r="L65" i="40" s="1"/>
  <c r="K65" i="40"/>
  <c r="H65" i="40"/>
  <c r="I65" i="40" s="1"/>
  <c r="AA64" i="40"/>
  <c r="Z64" i="40"/>
  <c r="L64" i="40" s="1"/>
  <c r="K64" i="40"/>
  <c r="H64" i="40"/>
  <c r="I64" i="40" s="1"/>
  <c r="AA63" i="40"/>
  <c r="Z63" i="40"/>
  <c r="L63" i="40" s="1"/>
  <c r="K63" i="40"/>
  <c r="H63" i="40"/>
  <c r="I63" i="40" s="1"/>
  <c r="AA62" i="40"/>
  <c r="Z62" i="40"/>
  <c r="L62" i="40" s="1"/>
  <c r="K62" i="40"/>
  <c r="H62" i="40"/>
  <c r="I62" i="40" s="1"/>
  <c r="AA61" i="40"/>
  <c r="Z61" i="40"/>
  <c r="L61" i="40" s="1"/>
  <c r="K61" i="40"/>
  <c r="H61" i="40"/>
  <c r="I61" i="40" s="1"/>
  <c r="AA60" i="40"/>
  <c r="Z60" i="40"/>
  <c r="L60" i="40" s="1"/>
  <c r="K60" i="40"/>
  <c r="H60" i="40"/>
  <c r="I60" i="40" s="1"/>
  <c r="AA59" i="40"/>
  <c r="Z59" i="40"/>
  <c r="L59" i="40" s="1"/>
  <c r="K59" i="40"/>
  <c r="H59" i="40"/>
  <c r="I59" i="40" s="1"/>
  <c r="AA58" i="40"/>
  <c r="Z58" i="40"/>
  <c r="L58" i="40" s="1"/>
  <c r="K58" i="40"/>
  <c r="H58" i="40"/>
  <c r="I58" i="40" s="1"/>
  <c r="AA57" i="40"/>
  <c r="Z57" i="40"/>
  <c r="L57" i="40" s="1"/>
  <c r="K57" i="40"/>
  <c r="H57" i="40"/>
  <c r="I57" i="40" s="1"/>
  <c r="AA56" i="40"/>
  <c r="Z56" i="40"/>
  <c r="L56" i="40" s="1"/>
  <c r="K56" i="40"/>
  <c r="H56" i="40"/>
  <c r="I56" i="40" s="1"/>
  <c r="AA55" i="40"/>
  <c r="Z55" i="40"/>
  <c r="L55" i="40" s="1"/>
  <c r="K55" i="40"/>
  <c r="H55" i="40"/>
  <c r="I55" i="40" s="1"/>
  <c r="AA54" i="40"/>
  <c r="Z54" i="40"/>
  <c r="L54" i="40" s="1"/>
  <c r="K54" i="40"/>
  <c r="H54" i="40"/>
  <c r="I54" i="40" s="1"/>
  <c r="AA53" i="40"/>
  <c r="Z53" i="40"/>
  <c r="L53" i="40" s="1"/>
  <c r="K53" i="40"/>
  <c r="H53" i="40"/>
  <c r="I53" i="40" s="1"/>
  <c r="AA52" i="40"/>
  <c r="Z52" i="40"/>
  <c r="L52" i="40" s="1"/>
  <c r="K52" i="40"/>
  <c r="H52" i="40"/>
  <c r="I52" i="40" s="1"/>
  <c r="AA51" i="40"/>
  <c r="Z51" i="40"/>
  <c r="L51" i="40" s="1"/>
  <c r="K51" i="40"/>
  <c r="H51" i="40"/>
  <c r="I51" i="40" s="1"/>
  <c r="AA50" i="40"/>
  <c r="Z50" i="40"/>
  <c r="L50" i="40" s="1"/>
  <c r="K50" i="40"/>
  <c r="H50" i="40"/>
  <c r="I50" i="40" s="1"/>
  <c r="AA49" i="40"/>
  <c r="Z49" i="40"/>
  <c r="L49" i="40" s="1"/>
  <c r="K49" i="40"/>
  <c r="H49" i="40"/>
  <c r="I49" i="40" s="1"/>
  <c r="AA48" i="40"/>
  <c r="Z48" i="40"/>
  <c r="L48" i="40" s="1"/>
  <c r="K48" i="40"/>
  <c r="H48" i="40"/>
  <c r="I48" i="40" s="1"/>
  <c r="AA47" i="40"/>
  <c r="Z47" i="40"/>
  <c r="L47" i="40" s="1"/>
  <c r="K47" i="40"/>
  <c r="H47" i="40"/>
  <c r="I47" i="40" s="1"/>
  <c r="AA46" i="40"/>
  <c r="Z46" i="40"/>
  <c r="L46" i="40" s="1"/>
  <c r="K46" i="40"/>
  <c r="H46" i="40"/>
  <c r="I46" i="40" s="1"/>
  <c r="AA45" i="40"/>
  <c r="Z45" i="40"/>
  <c r="L45" i="40" s="1"/>
  <c r="K45" i="40"/>
  <c r="H45" i="40"/>
  <c r="I45" i="40" s="1"/>
  <c r="AA44" i="40"/>
  <c r="Z44" i="40"/>
  <c r="L44" i="40" s="1"/>
  <c r="K44" i="40"/>
  <c r="H44" i="40"/>
  <c r="I44" i="40" s="1"/>
  <c r="AA43" i="40"/>
  <c r="Z43" i="40"/>
  <c r="L43" i="40" s="1"/>
  <c r="K43" i="40"/>
  <c r="H43" i="40"/>
  <c r="I43" i="40" s="1"/>
  <c r="AA42" i="40"/>
  <c r="Z42" i="40"/>
  <c r="L42" i="40" s="1"/>
  <c r="K42" i="40"/>
  <c r="H42" i="40"/>
  <c r="I42" i="40" s="1"/>
  <c r="AA41" i="40"/>
  <c r="Z41" i="40"/>
  <c r="L41" i="40" s="1"/>
  <c r="K41" i="40"/>
  <c r="H41" i="40"/>
  <c r="I41" i="40" s="1"/>
  <c r="AA40" i="40"/>
  <c r="Z40" i="40"/>
  <c r="L40" i="40" s="1"/>
  <c r="K40" i="40"/>
  <c r="H40" i="40"/>
  <c r="I40" i="40" s="1"/>
  <c r="AA39" i="40"/>
  <c r="Z39" i="40"/>
  <c r="L39" i="40"/>
  <c r="K39" i="40"/>
  <c r="H39" i="40"/>
  <c r="I39" i="40" s="1"/>
  <c r="AA38" i="40"/>
  <c r="Z38" i="40"/>
  <c r="L38" i="40" s="1"/>
  <c r="K38" i="40"/>
  <c r="H38" i="40"/>
  <c r="I38" i="40" s="1"/>
  <c r="AA37" i="40"/>
  <c r="Z37" i="40"/>
  <c r="L37" i="40" s="1"/>
  <c r="K37" i="40"/>
  <c r="H37" i="40"/>
  <c r="I37" i="40" s="1"/>
  <c r="AA36" i="40"/>
  <c r="Z36" i="40"/>
  <c r="L36" i="40" s="1"/>
  <c r="K36" i="40"/>
  <c r="H36" i="40"/>
  <c r="I36" i="40" s="1"/>
  <c r="AA35" i="40"/>
  <c r="Z35" i="40"/>
  <c r="L35" i="40" s="1"/>
  <c r="K35" i="40"/>
  <c r="H35" i="40"/>
  <c r="I35" i="40" s="1"/>
  <c r="AA34" i="40"/>
  <c r="Z34" i="40"/>
  <c r="L34" i="40" s="1"/>
  <c r="K34" i="40"/>
  <c r="H34" i="40"/>
  <c r="I34" i="40" s="1"/>
  <c r="AA33" i="40"/>
  <c r="Z33" i="40"/>
  <c r="L33" i="40" s="1"/>
  <c r="K33" i="40"/>
  <c r="H33" i="40"/>
  <c r="I33" i="40" s="1"/>
  <c r="AA32" i="40"/>
  <c r="Z32" i="40"/>
  <c r="I32" i="40"/>
  <c r="K32" i="40" s="1"/>
  <c r="H32" i="40"/>
  <c r="AA31" i="40"/>
  <c r="Z31" i="40"/>
  <c r="L31" i="40" s="1"/>
  <c r="K31" i="40"/>
  <c r="H31" i="40"/>
  <c r="I31" i="40" s="1"/>
  <c r="AA30" i="40"/>
  <c r="Z30" i="40"/>
  <c r="L30" i="40"/>
  <c r="K30" i="40"/>
  <c r="H30" i="40"/>
  <c r="I30" i="40" s="1"/>
  <c r="AA22" i="40"/>
  <c r="Z22" i="40"/>
  <c r="AE2" i="40" s="1"/>
  <c r="AA15" i="40"/>
  <c r="Z15" i="40"/>
  <c r="AD2" i="40" s="1"/>
  <c r="B14" i="40"/>
  <c r="AA9" i="40"/>
  <c r="Z9" i="40"/>
  <c r="AC2" i="40"/>
  <c r="L2" i="40"/>
  <c r="AA74" i="39"/>
  <c r="Z74" i="39"/>
  <c r="W74" i="39"/>
  <c r="L74" i="39"/>
  <c r="K74" i="39"/>
  <c r="H74" i="39"/>
  <c r="I74" i="39" s="1"/>
  <c r="AA73" i="39"/>
  <c r="Z73" i="39"/>
  <c r="L73" i="39" s="1"/>
  <c r="W73" i="39"/>
  <c r="K73" i="39"/>
  <c r="H73" i="39"/>
  <c r="I73" i="39" s="1"/>
  <c r="AA72" i="39"/>
  <c r="Z72" i="39"/>
  <c r="L72" i="39" s="1"/>
  <c r="W72" i="39"/>
  <c r="K72" i="39"/>
  <c r="H72" i="39"/>
  <c r="I72" i="39" s="1"/>
  <c r="AA71" i="39"/>
  <c r="Z71" i="39"/>
  <c r="L71" i="39" s="1"/>
  <c r="W71" i="39"/>
  <c r="K71" i="39"/>
  <c r="H71" i="39"/>
  <c r="I71" i="39" s="1"/>
  <c r="AA70" i="39"/>
  <c r="Z70" i="39"/>
  <c r="W70" i="39"/>
  <c r="L70" i="39"/>
  <c r="K70" i="39"/>
  <c r="H70" i="39"/>
  <c r="I70" i="39" s="1"/>
  <c r="AA69" i="39"/>
  <c r="Z69" i="39"/>
  <c r="L69" i="39" s="1"/>
  <c r="W69" i="39"/>
  <c r="K69" i="39"/>
  <c r="H69" i="39"/>
  <c r="I69" i="39" s="1"/>
  <c r="AA68" i="39"/>
  <c r="Z68" i="39"/>
  <c r="L68" i="39" s="1"/>
  <c r="W68" i="39"/>
  <c r="K68" i="39"/>
  <c r="H68" i="39"/>
  <c r="I68" i="39" s="1"/>
  <c r="AA67" i="39"/>
  <c r="Z67" i="39"/>
  <c r="L67" i="39" s="1"/>
  <c r="W67" i="39"/>
  <c r="K67" i="39"/>
  <c r="H67" i="39"/>
  <c r="I67" i="39" s="1"/>
  <c r="AA66" i="39"/>
  <c r="Z66" i="39"/>
  <c r="W66" i="39"/>
  <c r="L66" i="39"/>
  <c r="K66" i="39"/>
  <c r="H66" i="39"/>
  <c r="I66" i="39" s="1"/>
  <c r="AA65" i="39"/>
  <c r="Z65" i="39"/>
  <c r="L65" i="39" s="1"/>
  <c r="W65" i="39"/>
  <c r="K65" i="39"/>
  <c r="H65" i="39"/>
  <c r="I65" i="39" s="1"/>
  <c r="AA64" i="39"/>
  <c r="Z64" i="39"/>
  <c r="L64" i="39" s="1"/>
  <c r="W64" i="39"/>
  <c r="K64" i="39"/>
  <c r="H64" i="39"/>
  <c r="I64" i="39" s="1"/>
  <c r="AA63" i="39"/>
  <c r="Z63" i="39"/>
  <c r="L63" i="39" s="1"/>
  <c r="W63" i="39"/>
  <c r="K63" i="39"/>
  <c r="H63" i="39"/>
  <c r="I63" i="39" s="1"/>
  <c r="AA62" i="39"/>
  <c r="Z62" i="39"/>
  <c r="W62" i="39"/>
  <c r="L62" i="39"/>
  <c r="K62" i="39"/>
  <c r="H62" i="39"/>
  <c r="I62" i="39" s="1"/>
  <c r="AA61" i="39"/>
  <c r="Z61" i="39"/>
  <c r="L61" i="39" s="1"/>
  <c r="W61" i="39"/>
  <c r="K61" i="39"/>
  <c r="H61" i="39"/>
  <c r="I61" i="39" s="1"/>
  <c r="AA60" i="39"/>
  <c r="Z60" i="39"/>
  <c r="L60" i="39" s="1"/>
  <c r="W60" i="39"/>
  <c r="K60" i="39"/>
  <c r="H60" i="39"/>
  <c r="I60" i="39" s="1"/>
  <c r="AA59" i="39"/>
  <c r="Z59" i="39"/>
  <c r="L59" i="39" s="1"/>
  <c r="W59" i="39"/>
  <c r="K59" i="39"/>
  <c r="H59" i="39"/>
  <c r="I59" i="39" s="1"/>
  <c r="AA58" i="39"/>
  <c r="Z58" i="39"/>
  <c r="W58" i="39"/>
  <c r="L58" i="39"/>
  <c r="K58" i="39"/>
  <c r="H58" i="39"/>
  <c r="I58" i="39" s="1"/>
  <c r="AA57" i="39"/>
  <c r="Z57" i="39"/>
  <c r="L57" i="39" s="1"/>
  <c r="W57" i="39"/>
  <c r="K57" i="39"/>
  <c r="H57" i="39"/>
  <c r="I57" i="39" s="1"/>
  <c r="AA56" i="39"/>
  <c r="Z56" i="39"/>
  <c r="L56" i="39" s="1"/>
  <c r="W56" i="39"/>
  <c r="K56" i="39"/>
  <c r="H56" i="39"/>
  <c r="I56" i="39" s="1"/>
  <c r="AA55" i="39"/>
  <c r="Z55" i="39"/>
  <c r="L55" i="39" s="1"/>
  <c r="W55" i="39"/>
  <c r="K55" i="39"/>
  <c r="H55" i="39"/>
  <c r="I55" i="39" s="1"/>
  <c r="AA54" i="39"/>
  <c r="Z54" i="39"/>
  <c r="W54" i="39"/>
  <c r="L54" i="39"/>
  <c r="K54" i="39"/>
  <c r="H54" i="39"/>
  <c r="I54" i="39" s="1"/>
  <c r="AA53" i="39"/>
  <c r="Z53" i="39"/>
  <c r="L53" i="39" s="1"/>
  <c r="W53" i="39"/>
  <c r="K53" i="39"/>
  <c r="H53" i="39"/>
  <c r="I53" i="39" s="1"/>
  <c r="AA52" i="39"/>
  <c r="Z52" i="39"/>
  <c r="L52" i="39" s="1"/>
  <c r="W52" i="39"/>
  <c r="K52" i="39"/>
  <c r="H52" i="39"/>
  <c r="I52" i="39" s="1"/>
  <c r="AA51" i="39"/>
  <c r="Z51" i="39"/>
  <c r="L51" i="39" s="1"/>
  <c r="W51" i="39"/>
  <c r="K51" i="39"/>
  <c r="H51" i="39"/>
  <c r="I51" i="39" s="1"/>
  <c r="AA50" i="39"/>
  <c r="Z50" i="39"/>
  <c r="W50" i="39"/>
  <c r="L50" i="39"/>
  <c r="K50" i="39"/>
  <c r="H50" i="39"/>
  <c r="I50" i="39" s="1"/>
  <c r="AA49" i="39"/>
  <c r="Z49" i="39"/>
  <c r="L49" i="39" s="1"/>
  <c r="W49" i="39"/>
  <c r="K49" i="39"/>
  <c r="H49" i="39"/>
  <c r="I49" i="39" s="1"/>
  <c r="AA48" i="39"/>
  <c r="Z48" i="39"/>
  <c r="L48" i="39" s="1"/>
  <c r="W48" i="39"/>
  <c r="K48" i="39"/>
  <c r="H48" i="39"/>
  <c r="I48" i="39" s="1"/>
  <c r="AA47" i="39"/>
  <c r="Z47" i="39"/>
  <c r="L47" i="39" s="1"/>
  <c r="W47" i="39"/>
  <c r="K47" i="39"/>
  <c r="H47" i="39"/>
  <c r="I47" i="39" s="1"/>
  <c r="AA46" i="39"/>
  <c r="Z46" i="39"/>
  <c r="W46" i="39"/>
  <c r="L46" i="39"/>
  <c r="K46" i="39"/>
  <c r="H46" i="39"/>
  <c r="I46" i="39" s="1"/>
  <c r="AA45" i="39"/>
  <c r="Z45" i="39"/>
  <c r="L45" i="39" s="1"/>
  <c r="W45" i="39"/>
  <c r="K45" i="39"/>
  <c r="H45" i="39"/>
  <c r="I45" i="39" s="1"/>
  <c r="AA44" i="39"/>
  <c r="Z44" i="39"/>
  <c r="L44" i="39" s="1"/>
  <c r="W44" i="39"/>
  <c r="K44" i="39"/>
  <c r="H44" i="39"/>
  <c r="I44" i="39" s="1"/>
  <c r="AA43" i="39"/>
  <c r="Z43" i="39"/>
  <c r="L43" i="39" s="1"/>
  <c r="W43" i="39"/>
  <c r="K43" i="39"/>
  <c r="H43" i="39"/>
  <c r="I43" i="39" s="1"/>
  <c r="AA42" i="39"/>
  <c r="Z42" i="39"/>
  <c r="W42" i="39"/>
  <c r="L42" i="39"/>
  <c r="K42" i="39"/>
  <c r="H42" i="39"/>
  <c r="I42" i="39" s="1"/>
  <c r="AA41" i="39"/>
  <c r="Z41" i="39"/>
  <c r="L41" i="39" s="1"/>
  <c r="W41" i="39"/>
  <c r="K41" i="39"/>
  <c r="H41" i="39"/>
  <c r="I41" i="39" s="1"/>
  <c r="AA40" i="39"/>
  <c r="Z40" i="39"/>
  <c r="L40" i="39" s="1"/>
  <c r="W40" i="39"/>
  <c r="K40" i="39"/>
  <c r="H40" i="39"/>
  <c r="I40" i="39" s="1"/>
  <c r="AA39" i="39"/>
  <c r="Z39" i="39"/>
  <c r="L39" i="39" s="1"/>
  <c r="W39" i="39"/>
  <c r="K39" i="39"/>
  <c r="H39" i="39"/>
  <c r="I39" i="39" s="1"/>
  <c r="AA38" i="39"/>
  <c r="Z38" i="39"/>
  <c r="W38" i="39"/>
  <c r="L38" i="39"/>
  <c r="K38" i="39"/>
  <c r="H38" i="39"/>
  <c r="I38" i="39" s="1"/>
  <c r="AA37" i="39"/>
  <c r="Z37" i="39"/>
  <c r="L37" i="39" s="1"/>
  <c r="W37" i="39"/>
  <c r="K37" i="39"/>
  <c r="H37" i="39"/>
  <c r="I37" i="39" s="1"/>
  <c r="AA36" i="39"/>
  <c r="Z36" i="39"/>
  <c r="L36" i="39" s="1"/>
  <c r="W36" i="39"/>
  <c r="K36" i="39"/>
  <c r="H36" i="39"/>
  <c r="I36" i="39" s="1"/>
  <c r="AA35" i="39"/>
  <c r="Z35" i="39"/>
  <c r="L35" i="39" s="1"/>
  <c r="W35" i="39"/>
  <c r="K35" i="39"/>
  <c r="H35" i="39"/>
  <c r="I35" i="39" s="1"/>
  <c r="AA34" i="39"/>
  <c r="Z34" i="39"/>
  <c r="W34" i="39"/>
  <c r="L34" i="39"/>
  <c r="K34" i="39"/>
  <c r="H34" i="39"/>
  <c r="I34" i="39" s="1"/>
  <c r="AA33" i="39"/>
  <c r="Z33" i="39"/>
  <c r="L33" i="39" s="1"/>
  <c r="K33" i="39"/>
  <c r="H33" i="39"/>
  <c r="I33" i="39" s="1"/>
  <c r="AA32" i="39"/>
  <c r="Z32" i="39"/>
  <c r="H32" i="39"/>
  <c r="I32" i="39" s="1"/>
  <c r="K32" i="39" s="1"/>
  <c r="AA31" i="39"/>
  <c r="Z31" i="39"/>
  <c r="L31" i="39" s="1"/>
  <c r="K31" i="39"/>
  <c r="H31" i="39"/>
  <c r="I31" i="39" s="1"/>
  <c r="AA30" i="39"/>
  <c r="Z30" i="39"/>
  <c r="L30" i="39"/>
  <c r="H30" i="39"/>
  <c r="I30" i="39" s="1"/>
  <c r="AA22" i="39"/>
  <c r="Z22" i="39"/>
  <c r="AA15" i="39"/>
  <c r="Z15" i="39"/>
  <c r="AD2" i="39" s="1"/>
  <c r="AA9" i="39"/>
  <c r="Z9" i="39"/>
  <c r="AC2" i="39" s="1"/>
  <c r="AE2" i="39"/>
  <c r="L2" i="39"/>
  <c r="AA74" i="38"/>
  <c r="Z74" i="38"/>
  <c r="L74" i="38" s="1"/>
  <c r="W74" i="38"/>
  <c r="K74" i="38"/>
  <c r="H74" i="38"/>
  <c r="I74" i="38" s="1"/>
  <c r="AA73" i="38"/>
  <c r="Z73" i="38"/>
  <c r="W73" i="38"/>
  <c r="L73" i="38"/>
  <c r="K73" i="38"/>
  <c r="H73" i="38"/>
  <c r="I73" i="38" s="1"/>
  <c r="AA72" i="38"/>
  <c r="Z72" i="38"/>
  <c r="L72" i="38" s="1"/>
  <c r="W72" i="38"/>
  <c r="K72" i="38"/>
  <c r="H72" i="38"/>
  <c r="I72" i="38" s="1"/>
  <c r="AA71" i="38"/>
  <c r="Z71" i="38"/>
  <c r="L71" i="38" s="1"/>
  <c r="W71" i="38"/>
  <c r="K71" i="38"/>
  <c r="H71" i="38"/>
  <c r="I71" i="38" s="1"/>
  <c r="AA70" i="38"/>
  <c r="Z70" i="38"/>
  <c r="W70" i="38"/>
  <c r="L70" i="38"/>
  <c r="K70" i="38"/>
  <c r="H70" i="38"/>
  <c r="I70" i="38" s="1"/>
  <c r="AA69" i="38"/>
  <c r="Z69" i="38"/>
  <c r="L69" i="38" s="1"/>
  <c r="W69" i="38"/>
  <c r="K69" i="38"/>
  <c r="H69" i="38"/>
  <c r="I69" i="38" s="1"/>
  <c r="AA68" i="38"/>
  <c r="Z68" i="38"/>
  <c r="L68" i="38" s="1"/>
  <c r="W68" i="38"/>
  <c r="K68" i="38"/>
  <c r="I68" i="38"/>
  <c r="H68" i="38"/>
  <c r="AA67" i="38"/>
  <c r="Z67" i="38"/>
  <c r="L67" i="38" s="1"/>
  <c r="W67" i="38"/>
  <c r="K67" i="38"/>
  <c r="H67" i="38"/>
  <c r="I67" i="38" s="1"/>
  <c r="AA66" i="38"/>
  <c r="Z66" i="38"/>
  <c r="W66" i="38"/>
  <c r="L66" i="38"/>
  <c r="K66" i="38"/>
  <c r="H66" i="38"/>
  <c r="I66" i="38" s="1"/>
  <c r="AA65" i="38"/>
  <c r="Z65" i="38"/>
  <c r="L65" i="38" s="1"/>
  <c r="W65" i="38"/>
  <c r="K65" i="38"/>
  <c r="H65" i="38"/>
  <c r="I65" i="38" s="1"/>
  <c r="AA64" i="38"/>
  <c r="Z64" i="38"/>
  <c r="L64" i="38" s="1"/>
  <c r="W64" i="38"/>
  <c r="K64" i="38"/>
  <c r="H64" i="38"/>
  <c r="I64" i="38" s="1"/>
  <c r="AA63" i="38"/>
  <c r="Z63" i="38"/>
  <c r="L63" i="38" s="1"/>
  <c r="W63" i="38"/>
  <c r="K63" i="38"/>
  <c r="H63" i="38"/>
  <c r="I63" i="38" s="1"/>
  <c r="AA62" i="38"/>
  <c r="Z62" i="38"/>
  <c r="L62" i="38" s="1"/>
  <c r="W62" i="38"/>
  <c r="K62" i="38"/>
  <c r="H62" i="38"/>
  <c r="I62" i="38" s="1"/>
  <c r="AA61" i="38"/>
  <c r="Z61" i="38"/>
  <c r="W61" i="38"/>
  <c r="L61" i="38"/>
  <c r="K61" i="38"/>
  <c r="H61" i="38"/>
  <c r="I61" i="38" s="1"/>
  <c r="AA60" i="38"/>
  <c r="Z60" i="38"/>
  <c r="L60" i="38" s="1"/>
  <c r="W60" i="38"/>
  <c r="K60" i="38"/>
  <c r="H60" i="38"/>
  <c r="I60" i="38" s="1"/>
  <c r="AA59" i="38"/>
  <c r="Z59" i="38"/>
  <c r="L59" i="38" s="1"/>
  <c r="W59" i="38"/>
  <c r="K59" i="38"/>
  <c r="H59" i="38"/>
  <c r="I59" i="38" s="1"/>
  <c r="AA58" i="38"/>
  <c r="Z58" i="38"/>
  <c r="L58" i="38" s="1"/>
  <c r="W58" i="38"/>
  <c r="K58" i="38"/>
  <c r="H58" i="38"/>
  <c r="I58" i="38" s="1"/>
  <c r="AA57" i="38"/>
  <c r="Z57" i="38"/>
  <c r="W57" i="38"/>
  <c r="L57" i="38"/>
  <c r="K57" i="38"/>
  <c r="H57" i="38"/>
  <c r="I57" i="38" s="1"/>
  <c r="AA56" i="38"/>
  <c r="Z56" i="38"/>
  <c r="L56" i="38" s="1"/>
  <c r="W56" i="38"/>
  <c r="K56" i="38"/>
  <c r="H56" i="38"/>
  <c r="I56" i="38" s="1"/>
  <c r="AA55" i="38"/>
  <c r="Z55" i="38"/>
  <c r="L55" i="38" s="1"/>
  <c r="W55" i="38"/>
  <c r="K55" i="38"/>
  <c r="H55" i="38"/>
  <c r="I55" i="38" s="1"/>
  <c r="AA54" i="38"/>
  <c r="Z54" i="38"/>
  <c r="W54" i="38"/>
  <c r="L54" i="38"/>
  <c r="K54" i="38"/>
  <c r="H54" i="38"/>
  <c r="I54" i="38" s="1"/>
  <c r="AA53" i="38"/>
  <c r="Z53" i="38"/>
  <c r="L53" i="38" s="1"/>
  <c r="W53" i="38"/>
  <c r="K53" i="38"/>
  <c r="H53" i="38"/>
  <c r="I53" i="38" s="1"/>
  <c r="AA52" i="38"/>
  <c r="Z52" i="38"/>
  <c r="L52" i="38" s="1"/>
  <c r="W52" i="38"/>
  <c r="K52" i="38"/>
  <c r="H52" i="38"/>
  <c r="I52" i="38" s="1"/>
  <c r="AA51" i="38"/>
  <c r="Z51" i="38"/>
  <c r="L51" i="38" s="1"/>
  <c r="W51" i="38"/>
  <c r="K51" i="38"/>
  <c r="H51" i="38"/>
  <c r="I51" i="38" s="1"/>
  <c r="AA50" i="38"/>
  <c r="Z50" i="38"/>
  <c r="W50" i="38"/>
  <c r="L50" i="38"/>
  <c r="K50" i="38"/>
  <c r="H50" i="38"/>
  <c r="I50" i="38" s="1"/>
  <c r="AA49" i="38"/>
  <c r="Z49" i="38"/>
  <c r="L49" i="38" s="1"/>
  <c r="W49" i="38"/>
  <c r="K49" i="38"/>
  <c r="H49" i="38"/>
  <c r="I49" i="38" s="1"/>
  <c r="AA48" i="38"/>
  <c r="Z48" i="38"/>
  <c r="L48" i="38" s="1"/>
  <c r="W48" i="38"/>
  <c r="K48" i="38"/>
  <c r="H48" i="38"/>
  <c r="I48" i="38" s="1"/>
  <c r="AA47" i="38"/>
  <c r="Z47" i="38"/>
  <c r="L47" i="38" s="1"/>
  <c r="W47" i="38"/>
  <c r="K47" i="38"/>
  <c r="H47" i="38"/>
  <c r="I47" i="38" s="1"/>
  <c r="AA46" i="38"/>
  <c r="Z46" i="38"/>
  <c r="L46" i="38" s="1"/>
  <c r="W46" i="38"/>
  <c r="K46" i="38"/>
  <c r="H46" i="38"/>
  <c r="I46" i="38" s="1"/>
  <c r="AA45" i="38"/>
  <c r="Z45" i="38"/>
  <c r="W45" i="38"/>
  <c r="L45" i="38"/>
  <c r="K45" i="38"/>
  <c r="H45" i="38"/>
  <c r="I45" i="38" s="1"/>
  <c r="AA44" i="38"/>
  <c r="Z44" i="38"/>
  <c r="L44" i="38" s="1"/>
  <c r="W44" i="38"/>
  <c r="K44" i="38"/>
  <c r="H44" i="38"/>
  <c r="I44" i="38" s="1"/>
  <c r="AA43" i="38"/>
  <c r="Z43" i="38"/>
  <c r="L43" i="38" s="1"/>
  <c r="W43" i="38"/>
  <c r="K43" i="38"/>
  <c r="H43" i="38"/>
  <c r="I43" i="38" s="1"/>
  <c r="AA42" i="38"/>
  <c r="Z42" i="38"/>
  <c r="L42" i="38" s="1"/>
  <c r="W42" i="38"/>
  <c r="K42" i="38"/>
  <c r="H42" i="38"/>
  <c r="I42" i="38" s="1"/>
  <c r="AA41" i="38"/>
  <c r="Z41" i="38"/>
  <c r="W41" i="38"/>
  <c r="L41" i="38"/>
  <c r="K41" i="38"/>
  <c r="H41" i="38"/>
  <c r="I41" i="38" s="1"/>
  <c r="AA40" i="38"/>
  <c r="Z40" i="38"/>
  <c r="L40" i="38" s="1"/>
  <c r="W40" i="38"/>
  <c r="K40" i="38"/>
  <c r="H40" i="38"/>
  <c r="I40" i="38" s="1"/>
  <c r="AA39" i="38"/>
  <c r="Z39" i="38"/>
  <c r="L39" i="38" s="1"/>
  <c r="W39" i="38"/>
  <c r="K39" i="38"/>
  <c r="H39" i="38"/>
  <c r="I39" i="38" s="1"/>
  <c r="AA38" i="38"/>
  <c r="Z38" i="38"/>
  <c r="W38" i="38"/>
  <c r="L38" i="38"/>
  <c r="K38" i="38"/>
  <c r="H38" i="38"/>
  <c r="I38" i="38" s="1"/>
  <c r="AA37" i="38"/>
  <c r="Z37" i="38"/>
  <c r="L37" i="38" s="1"/>
  <c r="W37" i="38"/>
  <c r="K37" i="38"/>
  <c r="H37" i="38"/>
  <c r="I37" i="38" s="1"/>
  <c r="AA36" i="38"/>
  <c r="Z36" i="38"/>
  <c r="L36" i="38" s="1"/>
  <c r="W36" i="38"/>
  <c r="K36" i="38"/>
  <c r="H36" i="38"/>
  <c r="I36" i="38" s="1"/>
  <c r="AA35" i="38"/>
  <c r="Z35" i="38"/>
  <c r="L35" i="38" s="1"/>
  <c r="W35" i="38"/>
  <c r="K35" i="38"/>
  <c r="H35" i="38"/>
  <c r="I35" i="38" s="1"/>
  <c r="AA34" i="38"/>
  <c r="Z34" i="38"/>
  <c r="W34" i="38"/>
  <c r="L34" i="38"/>
  <c r="K34" i="38"/>
  <c r="H34" i="38"/>
  <c r="I34" i="38" s="1"/>
  <c r="AA33" i="38"/>
  <c r="Z33" i="38"/>
  <c r="L33" i="38" s="1"/>
  <c r="W33" i="38"/>
  <c r="K33" i="38"/>
  <c r="H33" i="38"/>
  <c r="I33" i="38" s="1"/>
  <c r="AA32" i="38"/>
  <c r="Z32" i="38"/>
  <c r="AA26" i="38" s="1"/>
  <c r="H32" i="38"/>
  <c r="I32" i="38" s="1"/>
  <c r="K32" i="38" s="1"/>
  <c r="AA31" i="38"/>
  <c r="Z31" i="38"/>
  <c r="L31" i="38" s="1"/>
  <c r="K31" i="38"/>
  <c r="H31" i="38"/>
  <c r="I31" i="38" s="1"/>
  <c r="AA30" i="38"/>
  <c r="Z30" i="38"/>
  <c r="L30" i="38" s="1"/>
  <c r="H30" i="38"/>
  <c r="I30" i="38" s="1"/>
  <c r="AA22" i="38"/>
  <c r="Z22" i="38"/>
  <c r="AE2" i="38" s="1"/>
  <c r="AA15" i="38"/>
  <c r="Z15" i="38"/>
  <c r="B14" i="38"/>
  <c r="AA9" i="38"/>
  <c r="Z9" i="38"/>
  <c r="AC2" i="38" s="1"/>
  <c r="AD2" i="38"/>
  <c r="L2" i="38"/>
  <c r="AA74" i="37"/>
  <c r="Z74" i="37"/>
  <c r="L74" i="37" s="1"/>
  <c r="K74" i="37"/>
  <c r="H74" i="37"/>
  <c r="I74" i="37" s="1"/>
  <c r="AA73" i="37"/>
  <c r="Z73" i="37"/>
  <c r="L73" i="37" s="1"/>
  <c r="K73" i="37"/>
  <c r="H73" i="37"/>
  <c r="I73" i="37" s="1"/>
  <c r="AA72" i="37"/>
  <c r="Z72" i="37"/>
  <c r="L72" i="37" s="1"/>
  <c r="K72" i="37"/>
  <c r="H72" i="37"/>
  <c r="I72" i="37" s="1"/>
  <c r="AA71" i="37"/>
  <c r="Z71" i="37"/>
  <c r="L71" i="37" s="1"/>
  <c r="K71" i="37"/>
  <c r="H71" i="37"/>
  <c r="I71" i="37" s="1"/>
  <c r="AA70" i="37"/>
  <c r="Z70" i="37"/>
  <c r="L70" i="37" s="1"/>
  <c r="K70" i="37"/>
  <c r="H70" i="37"/>
  <c r="I70" i="37" s="1"/>
  <c r="AA69" i="37"/>
  <c r="Z69" i="37"/>
  <c r="L69" i="37" s="1"/>
  <c r="K69" i="37"/>
  <c r="H69" i="37"/>
  <c r="I69" i="37" s="1"/>
  <c r="AA68" i="37"/>
  <c r="Z68" i="37"/>
  <c r="L68" i="37"/>
  <c r="K68" i="37"/>
  <c r="I68" i="37"/>
  <c r="H68" i="37"/>
  <c r="AA67" i="37"/>
  <c r="Z67" i="37"/>
  <c r="L67" i="37" s="1"/>
  <c r="K67" i="37"/>
  <c r="H67" i="37"/>
  <c r="I67" i="37" s="1"/>
  <c r="AA66" i="37"/>
  <c r="Z66" i="37"/>
  <c r="L66" i="37" s="1"/>
  <c r="K66" i="37"/>
  <c r="H66" i="37"/>
  <c r="I66" i="37" s="1"/>
  <c r="AA65" i="37"/>
  <c r="Z65" i="37"/>
  <c r="L65" i="37"/>
  <c r="K65" i="37"/>
  <c r="H65" i="37"/>
  <c r="I65" i="37" s="1"/>
  <c r="AA64" i="37"/>
  <c r="Z64" i="37"/>
  <c r="L64" i="37" s="1"/>
  <c r="K64" i="37"/>
  <c r="I64" i="37"/>
  <c r="H64" i="37"/>
  <c r="AA63" i="37"/>
  <c r="Z63" i="37"/>
  <c r="L63" i="37" s="1"/>
  <c r="K63" i="37"/>
  <c r="H63" i="37"/>
  <c r="I63" i="37" s="1"/>
  <c r="AA62" i="37"/>
  <c r="Z62" i="37"/>
  <c r="L62" i="37" s="1"/>
  <c r="K62" i="37"/>
  <c r="H62" i="37"/>
  <c r="I62" i="37" s="1"/>
  <c r="AA61" i="37"/>
  <c r="Z61" i="37"/>
  <c r="L61" i="37" s="1"/>
  <c r="K61" i="37"/>
  <c r="H61" i="37"/>
  <c r="I61" i="37" s="1"/>
  <c r="AA60" i="37"/>
  <c r="Z60" i="37"/>
  <c r="L60" i="37"/>
  <c r="K60" i="37"/>
  <c r="I60" i="37"/>
  <c r="H60" i="37"/>
  <c r="AA59" i="37"/>
  <c r="Z59" i="37"/>
  <c r="L59" i="37" s="1"/>
  <c r="K59" i="37"/>
  <c r="H59" i="37"/>
  <c r="I59" i="37" s="1"/>
  <c r="AA58" i="37"/>
  <c r="Z58" i="37"/>
  <c r="L58" i="37" s="1"/>
  <c r="K58" i="37"/>
  <c r="H58" i="37"/>
  <c r="I58" i="37" s="1"/>
  <c r="AA57" i="37"/>
  <c r="Z57" i="37"/>
  <c r="L57" i="37"/>
  <c r="K57" i="37"/>
  <c r="H57" i="37"/>
  <c r="I57" i="37" s="1"/>
  <c r="AA56" i="37"/>
  <c r="Z56" i="37"/>
  <c r="L56" i="37" s="1"/>
  <c r="K56" i="37"/>
  <c r="I56" i="37"/>
  <c r="H56" i="37"/>
  <c r="AA55" i="37"/>
  <c r="Z55" i="37"/>
  <c r="L55" i="37" s="1"/>
  <c r="K55" i="37"/>
  <c r="H55" i="37"/>
  <c r="I55" i="37" s="1"/>
  <c r="AA54" i="37"/>
  <c r="Z54" i="37"/>
  <c r="L54" i="37" s="1"/>
  <c r="K54" i="37"/>
  <c r="H54" i="37"/>
  <c r="I54" i="37" s="1"/>
  <c r="AA53" i="37"/>
  <c r="Z53" i="37"/>
  <c r="L53" i="37" s="1"/>
  <c r="K53" i="37"/>
  <c r="H53" i="37"/>
  <c r="I53" i="37" s="1"/>
  <c r="AA52" i="37"/>
  <c r="Z52" i="37"/>
  <c r="L52" i="37"/>
  <c r="K52" i="37"/>
  <c r="I52" i="37"/>
  <c r="H52" i="37"/>
  <c r="AA51" i="37"/>
  <c r="Z51" i="37"/>
  <c r="L51" i="37" s="1"/>
  <c r="K51" i="37"/>
  <c r="H51" i="37"/>
  <c r="I51" i="37" s="1"/>
  <c r="AA50" i="37"/>
  <c r="Z50" i="37"/>
  <c r="L50" i="37" s="1"/>
  <c r="K50" i="37"/>
  <c r="H50" i="37"/>
  <c r="I50" i="37" s="1"/>
  <c r="AA49" i="37"/>
  <c r="Z49" i="37"/>
  <c r="L49" i="37"/>
  <c r="K49" i="37"/>
  <c r="H49" i="37"/>
  <c r="I49" i="37" s="1"/>
  <c r="AA48" i="37"/>
  <c r="Z48" i="37"/>
  <c r="L48" i="37" s="1"/>
  <c r="K48" i="37"/>
  <c r="I48" i="37"/>
  <c r="H48" i="37"/>
  <c r="AA47" i="37"/>
  <c r="Z47" i="37"/>
  <c r="L47" i="37" s="1"/>
  <c r="K47" i="37"/>
  <c r="H47" i="37"/>
  <c r="I47" i="37" s="1"/>
  <c r="AA46" i="37"/>
  <c r="Z46" i="37"/>
  <c r="L46" i="37" s="1"/>
  <c r="K46" i="37"/>
  <c r="H46" i="37"/>
  <c r="I46" i="37" s="1"/>
  <c r="AA45" i="37"/>
  <c r="Z45" i="37"/>
  <c r="L45" i="37" s="1"/>
  <c r="K45" i="37"/>
  <c r="H45" i="37"/>
  <c r="I45" i="37" s="1"/>
  <c r="AA44" i="37"/>
  <c r="Z44" i="37"/>
  <c r="L44" i="37"/>
  <c r="K44" i="37"/>
  <c r="I44" i="37"/>
  <c r="H44" i="37"/>
  <c r="AA43" i="37"/>
  <c r="Z43" i="37"/>
  <c r="L43" i="37" s="1"/>
  <c r="K43" i="37"/>
  <c r="H43" i="37"/>
  <c r="I43" i="37" s="1"/>
  <c r="AA42" i="37"/>
  <c r="Z42" i="37"/>
  <c r="L42" i="37" s="1"/>
  <c r="K42" i="37"/>
  <c r="H42" i="37"/>
  <c r="I42" i="37" s="1"/>
  <c r="AA41" i="37"/>
  <c r="Z41" i="37"/>
  <c r="L41" i="37"/>
  <c r="K41" i="37"/>
  <c r="H41" i="37"/>
  <c r="I41" i="37" s="1"/>
  <c r="AA40" i="37"/>
  <c r="Z40" i="37"/>
  <c r="L40" i="37" s="1"/>
  <c r="K40" i="37"/>
  <c r="I40" i="37"/>
  <c r="H40" i="37"/>
  <c r="AA39" i="37"/>
  <c r="Z39" i="37"/>
  <c r="L39" i="37" s="1"/>
  <c r="K39" i="37"/>
  <c r="H39" i="37"/>
  <c r="I39" i="37" s="1"/>
  <c r="AA38" i="37"/>
  <c r="Z38" i="37"/>
  <c r="L38" i="37" s="1"/>
  <c r="K38" i="37"/>
  <c r="H38" i="37"/>
  <c r="I38" i="37" s="1"/>
  <c r="AA37" i="37"/>
  <c r="Z37" i="37"/>
  <c r="L37" i="37" s="1"/>
  <c r="K37" i="37"/>
  <c r="H37" i="37"/>
  <c r="I37" i="37" s="1"/>
  <c r="AA36" i="37"/>
  <c r="Z36" i="37"/>
  <c r="L36" i="37"/>
  <c r="K36" i="37"/>
  <c r="I36" i="37"/>
  <c r="H36" i="37"/>
  <c r="AA35" i="37"/>
  <c r="Z35" i="37"/>
  <c r="L35" i="37" s="1"/>
  <c r="K35" i="37"/>
  <c r="H35" i="37"/>
  <c r="I35" i="37" s="1"/>
  <c r="AA34" i="37"/>
  <c r="Z34" i="37"/>
  <c r="L34" i="37" s="1"/>
  <c r="K34" i="37"/>
  <c r="H34" i="37"/>
  <c r="I34" i="37" s="1"/>
  <c r="AA33" i="37"/>
  <c r="Z33" i="37"/>
  <c r="L33" i="37"/>
  <c r="K33" i="37"/>
  <c r="H33" i="37"/>
  <c r="I33" i="37" s="1"/>
  <c r="AA32" i="37"/>
  <c r="Z32" i="37"/>
  <c r="L32" i="37" s="1"/>
  <c r="H32" i="37"/>
  <c r="I32" i="37" s="1"/>
  <c r="K32" i="37" s="1"/>
  <c r="AA31" i="37"/>
  <c r="Z31" i="37"/>
  <c r="L31" i="37" s="1"/>
  <c r="K31" i="37"/>
  <c r="H31" i="37"/>
  <c r="I31" i="37" s="1"/>
  <c r="AA30" i="37"/>
  <c r="Z30" i="37"/>
  <c r="H30" i="37"/>
  <c r="I30" i="37" s="1"/>
  <c r="K30" i="37" s="1"/>
  <c r="AA22" i="37"/>
  <c r="Z22" i="37"/>
  <c r="AA15" i="37"/>
  <c r="Z15" i="37"/>
  <c r="AD2" i="37" s="1"/>
  <c r="B14" i="37"/>
  <c r="AA9" i="37"/>
  <c r="Z9" i="37"/>
  <c r="AE2" i="37"/>
  <c r="AC2" i="37"/>
  <c r="L2" i="37"/>
  <c r="AA74" i="36"/>
  <c r="Z74" i="36"/>
  <c r="L74" i="36" s="1"/>
  <c r="K74" i="36"/>
  <c r="H74" i="36"/>
  <c r="I74" i="36" s="1"/>
  <c r="AA73" i="36"/>
  <c r="Z73" i="36"/>
  <c r="L73" i="36" s="1"/>
  <c r="K73" i="36"/>
  <c r="I73" i="36"/>
  <c r="H73" i="36"/>
  <c r="AA72" i="36"/>
  <c r="Z72" i="36"/>
  <c r="L72" i="36" s="1"/>
  <c r="K72" i="36"/>
  <c r="H72" i="36"/>
  <c r="I72" i="36" s="1"/>
  <c r="AA71" i="36"/>
  <c r="Z71" i="36"/>
  <c r="L71" i="36" s="1"/>
  <c r="K71" i="36"/>
  <c r="H71" i="36"/>
  <c r="I71" i="36" s="1"/>
  <c r="AA70" i="36"/>
  <c r="Z70" i="36"/>
  <c r="L70" i="36" s="1"/>
  <c r="K70" i="36"/>
  <c r="H70" i="36"/>
  <c r="I70" i="36" s="1"/>
  <c r="AA69" i="36"/>
  <c r="Z69" i="36"/>
  <c r="L69" i="36" s="1"/>
  <c r="K69" i="36"/>
  <c r="I69" i="36"/>
  <c r="H69" i="36"/>
  <c r="AA68" i="36"/>
  <c r="Z68" i="36"/>
  <c r="L68" i="36" s="1"/>
  <c r="K68" i="36"/>
  <c r="H68" i="36"/>
  <c r="I68" i="36" s="1"/>
  <c r="AA67" i="36"/>
  <c r="Z67" i="36"/>
  <c r="L67" i="36" s="1"/>
  <c r="K67" i="36"/>
  <c r="H67" i="36"/>
  <c r="I67" i="36" s="1"/>
  <c r="AA66" i="36"/>
  <c r="Z66" i="36"/>
  <c r="L66" i="36" s="1"/>
  <c r="K66" i="36"/>
  <c r="H66" i="36"/>
  <c r="I66" i="36" s="1"/>
  <c r="AA65" i="36"/>
  <c r="Z65" i="36"/>
  <c r="L65" i="36" s="1"/>
  <c r="K65" i="36"/>
  <c r="I65" i="36"/>
  <c r="H65" i="36"/>
  <c r="AA64" i="36"/>
  <c r="Z64" i="36"/>
  <c r="L64" i="36" s="1"/>
  <c r="K64" i="36"/>
  <c r="H64" i="36"/>
  <c r="I64" i="36" s="1"/>
  <c r="AA63" i="36"/>
  <c r="Z63" i="36"/>
  <c r="L63" i="36" s="1"/>
  <c r="K63" i="36"/>
  <c r="H63" i="36"/>
  <c r="I63" i="36" s="1"/>
  <c r="AA62" i="36"/>
  <c r="Z62" i="36"/>
  <c r="L62" i="36" s="1"/>
  <c r="K62" i="36"/>
  <c r="H62" i="36"/>
  <c r="I62" i="36" s="1"/>
  <c r="AA61" i="36"/>
  <c r="Z61" i="36"/>
  <c r="L61" i="36" s="1"/>
  <c r="K61" i="36"/>
  <c r="H61" i="36"/>
  <c r="I61" i="36" s="1"/>
  <c r="AA60" i="36"/>
  <c r="Z60" i="36"/>
  <c r="L60" i="36" s="1"/>
  <c r="K60" i="36"/>
  <c r="I60" i="36"/>
  <c r="H60" i="36"/>
  <c r="AA59" i="36"/>
  <c r="Z59" i="36"/>
  <c r="L59" i="36" s="1"/>
  <c r="K59" i="36"/>
  <c r="H59" i="36"/>
  <c r="I59" i="36" s="1"/>
  <c r="AA58" i="36"/>
  <c r="Z58" i="36"/>
  <c r="L58" i="36" s="1"/>
  <c r="K58" i="36"/>
  <c r="H58" i="36"/>
  <c r="I58" i="36" s="1"/>
  <c r="AA57" i="36"/>
  <c r="Z57" i="36"/>
  <c r="L57" i="36" s="1"/>
  <c r="K57" i="36"/>
  <c r="H57" i="36"/>
  <c r="I57" i="36" s="1"/>
  <c r="AA56" i="36"/>
  <c r="Z56" i="36"/>
  <c r="L56" i="36" s="1"/>
  <c r="K56" i="36"/>
  <c r="I56" i="36"/>
  <c r="H56" i="36"/>
  <c r="AA55" i="36"/>
  <c r="Z55" i="36"/>
  <c r="L55" i="36" s="1"/>
  <c r="K55" i="36"/>
  <c r="H55" i="36"/>
  <c r="I55" i="36" s="1"/>
  <c r="AA54" i="36"/>
  <c r="Z54" i="36"/>
  <c r="L54" i="36" s="1"/>
  <c r="K54" i="36"/>
  <c r="H54" i="36"/>
  <c r="I54" i="36" s="1"/>
  <c r="AA53" i="36"/>
  <c r="Z53" i="36"/>
  <c r="L53" i="36" s="1"/>
  <c r="K53" i="36"/>
  <c r="H53" i="36"/>
  <c r="I53" i="36" s="1"/>
  <c r="AA52" i="36"/>
  <c r="Z52" i="36"/>
  <c r="L52" i="36" s="1"/>
  <c r="K52" i="36"/>
  <c r="I52" i="36"/>
  <c r="H52" i="36"/>
  <c r="AA51" i="36"/>
  <c r="Z51" i="36"/>
  <c r="L51" i="36" s="1"/>
  <c r="K51" i="36"/>
  <c r="H51" i="36"/>
  <c r="I51" i="36" s="1"/>
  <c r="AA50" i="36"/>
  <c r="Z50" i="36"/>
  <c r="L50" i="36" s="1"/>
  <c r="K50" i="36"/>
  <c r="H50" i="36"/>
  <c r="I50" i="36" s="1"/>
  <c r="AA49" i="36"/>
  <c r="Z49" i="36"/>
  <c r="L49" i="36" s="1"/>
  <c r="K49" i="36"/>
  <c r="H49" i="36"/>
  <c r="I49" i="36" s="1"/>
  <c r="AA48" i="36"/>
  <c r="Z48" i="36"/>
  <c r="L48" i="36" s="1"/>
  <c r="K48" i="36"/>
  <c r="I48" i="36"/>
  <c r="H48" i="36"/>
  <c r="AA47" i="36"/>
  <c r="Z47" i="36"/>
  <c r="L47" i="36" s="1"/>
  <c r="K47" i="36"/>
  <c r="H47" i="36"/>
  <c r="I47" i="36" s="1"/>
  <c r="AA46" i="36"/>
  <c r="Z46" i="36"/>
  <c r="L46" i="36" s="1"/>
  <c r="K46" i="36"/>
  <c r="H46" i="36"/>
  <c r="I46" i="36" s="1"/>
  <c r="AA45" i="36"/>
  <c r="Z45" i="36"/>
  <c r="L45" i="36" s="1"/>
  <c r="K45" i="36"/>
  <c r="H45" i="36"/>
  <c r="I45" i="36" s="1"/>
  <c r="AA44" i="36"/>
  <c r="Z44" i="36"/>
  <c r="L44" i="36" s="1"/>
  <c r="K44" i="36"/>
  <c r="I44" i="36"/>
  <c r="H44" i="36"/>
  <c r="AA43" i="36"/>
  <c r="Z43" i="36"/>
  <c r="L43" i="36" s="1"/>
  <c r="K43" i="36"/>
  <c r="H43" i="36"/>
  <c r="I43" i="36" s="1"/>
  <c r="AA42" i="36"/>
  <c r="Z42" i="36"/>
  <c r="L42" i="36" s="1"/>
  <c r="K42" i="36"/>
  <c r="H42" i="36"/>
  <c r="I42" i="36" s="1"/>
  <c r="AA41" i="36"/>
  <c r="Z41" i="36"/>
  <c r="L41" i="36" s="1"/>
  <c r="K41" i="36"/>
  <c r="H41" i="36"/>
  <c r="I41" i="36" s="1"/>
  <c r="AA40" i="36"/>
  <c r="Z40" i="36"/>
  <c r="L40" i="36" s="1"/>
  <c r="K40" i="36"/>
  <c r="I40" i="36"/>
  <c r="H40" i="36"/>
  <c r="AA39" i="36"/>
  <c r="Z39" i="36"/>
  <c r="L39" i="36" s="1"/>
  <c r="K39" i="36"/>
  <c r="H39" i="36"/>
  <c r="I39" i="36" s="1"/>
  <c r="AA38" i="36"/>
  <c r="Z38" i="36"/>
  <c r="L38" i="36" s="1"/>
  <c r="K38" i="36"/>
  <c r="H38" i="36"/>
  <c r="I38" i="36" s="1"/>
  <c r="AA37" i="36"/>
  <c r="Z37" i="36"/>
  <c r="L37" i="36" s="1"/>
  <c r="K37" i="36"/>
  <c r="H37" i="36"/>
  <c r="I37" i="36" s="1"/>
  <c r="AA36" i="36"/>
  <c r="Z36" i="36"/>
  <c r="L36" i="36" s="1"/>
  <c r="K36" i="36"/>
  <c r="I36" i="36"/>
  <c r="H36" i="36"/>
  <c r="AA35" i="36"/>
  <c r="Z35" i="36"/>
  <c r="L35" i="36" s="1"/>
  <c r="K35" i="36"/>
  <c r="H35" i="36"/>
  <c r="I35" i="36" s="1"/>
  <c r="AA34" i="36"/>
  <c r="Z34" i="36"/>
  <c r="L34" i="36" s="1"/>
  <c r="K34" i="36"/>
  <c r="H34" i="36"/>
  <c r="I34" i="36" s="1"/>
  <c r="AA33" i="36"/>
  <c r="Z33" i="36"/>
  <c r="L33" i="36" s="1"/>
  <c r="K33" i="36"/>
  <c r="H33" i="36"/>
  <c r="I33" i="36" s="1"/>
  <c r="AA32" i="36"/>
  <c r="Z32" i="36"/>
  <c r="H32" i="36"/>
  <c r="I32" i="36" s="1"/>
  <c r="K32" i="36" s="1"/>
  <c r="AA31" i="36"/>
  <c r="Z31" i="36"/>
  <c r="L31" i="36" s="1"/>
  <c r="K31" i="36"/>
  <c r="H31" i="36"/>
  <c r="I31" i="36" s="1"/>
  <c r="AA30" i="36"/>
  <c r="Z30" i="36"/>
  <c r="L30" i="36" s="1"/>
  <c r="H30" i="36"/>
  <c r="I30" i="36" s="1"/>
  <c r="AA22" i="36"/>
  <c r="Z22" i="36"/>
  <c r="AE2" i="36" s="1"/>
  <c r="AA15" i="36"/>
  <c r="Z15" i="36"/>
  <c r="B14" i="36"/>
  <c r="AA9" i="36"/>
  <c r="Z9" i="36"/>
  <c r="AC2" i="36" s="1"/>
  <c r="AD2" i="36"/>
  <c r="L2" i="36"/>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L2" i="4"/>
  <c r="C43" i="5"/>
  <c r="I43" i="5" s="1"/>
  <c r="C42" i="5"/>
  <c r="C41" i="5"/>
  <c r="Y8" i="26"/>
  <c r="T42" i="26"/>
  <c r="S42" i="26"/>
  <c r="R42" i="26"/>
  <c r="C42" i="26"/>
  <c r="D42" i="26"/>
  <c r="E42" i="26"/>
  <c r="F42" i="26"/>
  <c r="P41" i="26"/>
  <c r="U41" i="26" s="1"/>
  <c r="P40" i="26"/>
  <c r="P39" i="26"/>
  <c r="U39" i="26" s="1"/>
  <c r="P38" i="26"/>
  <c r="P37" i="26"/>
  <c r="U37" i="26" s="1"/>
  <c r="P36" i="26"/>
  <c r="P35" i="26"/>
  <c r="U35" i="26" s="1"/>
  <c r="P34" i="26"/>
  <c r="P33" i="26"/>
  <c r="U33" i="26" s="1"/>
  <c r="P32" i="26"/>
  <c r="P31" i="26"/>
  <c r="U31" i="26" s="1"/>
  <c r="P30" i="26"/>
  <c r="P29" i="26"/>
  <c r="U29" i="26" s="1"/>
  <c r="P28" i="26"/>
  <c r="P27" i="26"/>
  <c r="U27" i="26" s="1"/>
  <c r="P26" i="26"/>
  <c r="P25" i="26"/>
  <c r="U25" i="26" s="1"/>
  <c r="P24" i="26"/>
  <c r="P23" i="26"/>
  <c r="U23" i="26" s="1"/>
  <c r="P22" i="26"/>
  <c r="P21" i="26"/>
  <c r="U21" i="26" s="1"/>
  <c r="P20" i="26"/>
  <c r="P19" i="26"/>
  <c r="U19" i="26" s="1"/>
  <c r="P18" i="26"/>
  <c r="P17" i="26"/>
  <c r="U17" i="26" s="1"/>
  <c r="P16" i="26"/>
  <c r="P15" i="26"/>
  <c r="U15" i="26" s="1"/>
  <c r="I40" i="26"/>
  <c r="I39" i="26"/>
  <c r="N39" i="26" s="1"/>
  <c r="I38" i="26"/>
  <c r="I37" i="26"/>
  <c r="N37" i="26" s="1"/>
  <c r="I36" i="26"/>
  <c r="I35" i="26"/>
  <c r="N35" i="26" s="1"/>
  <c r="I34" i="26"/>
  <c r="I33" i="26"/>
  <c r="N33" i="26" s="1"/>
  <c r="I32" i="26"/>
  <c r="I31" i="26"/>
  <c r="N31" i="26" s="1"/>
  <c r="I30" i="26"/>
  <c r="I29" i="26"/>
  <c r="N29" i="26" s="1"/>
  <c r="I28" i="26"/>
  <c r="I27" i="26"/>
  <c r="N27" i="26" s="1"/>
  <c r="I26" i="26"/>
  <c r="I25" i="26"/>
  <c r="N25" i="26" s="1"/>
  <c r="I24" i="26"/>
  <c r="I23" i="26"/>
  <c r="N23" i="26" s="1"/>
  <c r="I22" i="26"/>
  <c r="I21" i="26"/>
  <c r="N21" i="26" s="1"/>
  <c r="I20" i="26"/>
  <c r="I19" i="26"/>
  <c r="N19" i="26" s="1"/>
  <c r="I18" i="26"/>
  <c r="I17" i="26"/>
  <c r="N17" i="26" s="1"/>
  <c r="I16" i="26"/>
  <c r="I15" i="26"/>
  <c r="N15" i="26" s="1"/>
  <c r="I14" i="26"/>
  <c r="I13" i="26"/>
  <c r="N13" i="26" s="1"/>
  <c r="I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C46" i="5"/>
  <c r="E39" i="25"/>
  <c r="E23" i="25"/>
  <c r="C45" i="5"/>
  <c r="I45" i="5" s="1"/>
  <c r="C44" i="5"/>
  <c r="I44" i="5" s="1"/>
  <c r="O27" i="5"/>
  <c r="AJ27" i="5" s="1"/>
  <c r="O26" i="5"/>
  <c r="AJ26" i="5" s="1"/>
  <c r="O25" i="5"/>
  <c r="AJ25" i="5" s="1"/>
  <c r="O24" i="5"/>
  <c r="AJ24" i="5" s="1"/>
  <c r="O23" i="5"/>
  <c r="AJ23" i="5" s="1"/>
  <c r="O22" i="5"/>
  <c r="AJ22" i="5" s="1"/>
  <c r="O21" i="5"/>
  <c r="AJ21" i="5" s="1"/>
  <c r="P27" i="5"/>
  <c r="P26" i="5"/>
  <c r="P24" i="5"/>
  <c r="P23" i="5"/>
  <c r="P22" i="5"/>
  <c r="P21" i="5"/>
  <c r="C27" i="5"/>
  <c r="C26" i="5"/>
  <c r="C25" i="5"/>
  <c r="C24" i="5"/>
  <c r="C23" i="5"/>
  <c r="C22" i="5"/>
  <c r="C21" i="5"/>
  <c r="G20" i="24" l="1"/>
  <c r="H21" i="25" s="1"/>
  <c r="F20" i="24"/>
  <c r="N12" i="26"/>
  <c r="I42" i="26"/>
  <c r="J43" i="26" s="1"/>
  <c r="N14" i="26"/>
  <c r="N16" i="26"/>
  <c r="N18" i="26"/>
  <c r="N20" i="26"/>
  <c r="N22" i="26"/>
  <c r="N24" i="26"/>
  <c r="N26" i="26"/>
  <c r="N28" i="26"/>
  <c r="N30" i="26"/>
  <c r="N32" i="26"/>
  <c r="N34" i="26"/>
  <c r="N36" i="26"/>
  <c r="N38" i="26"/>
  <c r="N40" i="26"/>
  <c r="I41" i="5"/>
  <c r="O41" i="5"/>
  <c r="U16" i="26"/>
  <c r="U20" i="26"/>
  <c r="U24" i="26"/>
  <c r="U28" i="26"/>
  <c r="U32" i="26"/>
  <c r="U36" i="26"/>
  <c r="U40" i="26"/>
  <c r="U11" i="26"/>
  <c r="G12" i="26"/>
  <c r="G16" i="26"/>
  <c r="G20" i="26"/>
  <c r="G24" i="26"/>
  <c r="G28" i="26"/>
  <c r="G32" i="26"/>
  <c r="G36" i="26"/>
  <c r="G40" i="26"/>
  <c r="G14" i="26"/>
  <c r="G22" i="26"/>
  <c r="G30" i="26"/>
  <c r="G38" i="26"/>
  <c r="U14" i="26"/>
  <c r="G19" i="26"/>
  <c r="G27" i="26"/>
  <c r="G35" i="26"/>
  <c r="U13" i="26"/>
  <c r="G13" i="26"/>
  <c r="G17" i="26"/>
  <c r="G21" i="26"/>
  <c r="G25" i="26"/>
  <c r="G29" i="26"/>
  <c r="G33" i="26"/>
  <c r="G37" i="26"/>
  <c r="G41" i="26"/>
  <c r="G18" i="26"/>
  <c r="G26" i="26"/>
  <c r="G34" i="26"/>
  <c r="G11" i="26"/>
  <c r="U12" i="26"/>
  <c r="G15" i="26"/>
  <c r="G23" i="26"/>
  <c r="G31" i="26"/>
  <c r="G39" i="26"/>
  <c r="N11" i="26"/>
  <c r="U18" i="26"/>
  <c r="U22" i="26"/>
  <c r="U26" i="26"/>
  <c r="U30" i="26"/>
  <c r="U34" i="26"/>
  <c r="U38" i="26"/>
  <c r="AA26" i="42"/>
  <c r="I19" i="24"/>
  <c r="AK9" i="26"/>
  <c r="AK10" i="26"/>
  <c r="AH10" i="26"/>
  <c r="AH9" i="26"/>
  <c r="AN10" i="26"/>
  <c r="AN9" i="26"/>
  <c r="AD10" i="26"/>
  <c r="AD9" i="26"/>
  <c r="AG9" i="26"/>
  <c r="AG10" i="26"/>
  <c r="AJ10" i="26"/>
  <c r="AJ9" i="26"/>
  <c r="AM9" i="26"/>
  <c r="AM10" i="26"/>
  <c r="AL10" i="26"/>
  <c r="AL9" i="26"/>
  <c r="AI9" i="26"/>
  <c r="AI10" i="26"/>
  <c r="AF9" i="26"/>
  <c r="AF10" i="26"/>
  <c r="AC9" i="26"/>
  <c r="AC10" i="26"/>
  <c r="AA26" i="48"/>
  <c r="AC8" i="26"/>
  <c r="AE8" i="26"/>
  <c r="AE11" i="26" s="1"/>
  <c r="AG8" i="26"/>
  <c r="AI8" i="26"/>
  <c r="AK8" i="26"/>
  <c r="AM8" i="26"/>
  <c r="AD8" i="26"/>
  <c r="AF8" i="26"/>
  <c r="AH8" i="26"/>
  <c r="AJ8" i="26"/>
  <c r="AL8" i="26"/>
  <c r="AN8" i="26"/>
  <c r="L32" i="38"/>
  <c r="Z26" i="40"/>
  <c r="AF2" i="40" s="1"/>
  <c r="Z3" i="40" s="1"/>
  <c r="AA26" i="40"/>
  <c r="L31" i="43"/>
  <c r="AA26" i="43"/>
  <c r="L35" i="45"/>
  <c r="AA26" i="45"/>
  <c r="L35" i="47"/>
  <c r="AA26" i="47"/>
  <c r="AA26" i="36"/>
  <c r="L32" i="36"/>
  <c r="Z26" i="37"/>
  <c r="AF2" i="37" s="1"/>
  <c r="Z3" i="37" s="1"/>
  <c r="AA26" i="41"/>
  <c r="Z26" i="44"/>
  <c r="AF2" i="44" s="1"/>
  <c r="Z3" i="44" s="1"/>
  <c r="AA26" i="44"/>
  <c r="L40" i="46"/>
  <c r="AA26" i="46"/>
  <c r="Z26" i="48"/>
  <c r="AF2" i="48" s="1"/>
  <c r="Z3" i="48" s="1"/>
  <c r="AA26" i="39"/>
  <c r="Z26" i="41"/>
  <c r="AF2" i="41" s="1"/>
  <c r="Z3" i="41" s="1"/>
  <c r="Z26" i="42"/>
  <c r="AF2" i="42" s="1"/>
  <c r="Z3" i="42" s="1"/>
  <c r="L32" i="43"/>
  <c r="L32" i="45"/>
  <c r="Z26" i="46"/>
  <c r="AF2" i="46" s="1"/>
  <c r="Z3" i="46" s="1"/>
  <c r="L32" i="47"/>
  <c r="E41" i="25"/>
  <c r="I46" i="5"/>
  <c r="O46" i="5"/>
  <c r="I42" i="5"/>
  <c r="O42" i="5"/>
  <c r="I16" i="24"/>
  <c r="I17" i="24"/>
  <c r="Z26" i="39"/>
  <c r="AF2" i="39" s="1"/>
  <c r="Z3" i="39" s="1"/>
  <c r="K30" i="48"/>
  <c r="H3" i="48"/>
  <c r="L32" i="48"/>
  <c r="K30" i="47"/>
  <c r="H3" i="47"/>
  <c r="Z26" i="47"/>
  <c r="AF2" i="47" s="1"/>
  <c r="Z3" i="47" s="1"/>
  <c r="K30" i="46"/>
  <c r="H3" i="46"/>
  <c r="L32" i="46"/>
  <c r="K30" i="45"/>
  <c r="H3" i="45"/>
  <c r="Z26" i="45"/>
  <c r="AF2" i="45" s="1"/>
  <c r="Z3" i="45" s="1"/>
  <c r="K30" i="44"/>
  <c r="H3" i="44"/>
  <c r="L32" i="44"/>
  <c r="K30" i="43"/>
  <c r="H3" i="43"/>
  <c r="Z26" i="43"/>
  <c r="AF2" i="43" s="1"/>
  <c r="Z3" i="43" s="1"/>
  <c r="K30" i="42"/>
  <c r="H3" i="42"/>
  <c r="L32" i="42"/>
  <c r="K30" i="41"/>
  <c r="K19" i="24" s="1"/>
  <c r="H3" i="41"/>
  <c r="K21" i="24" s="1"/>
  <c r="L32" i="41"/>
  <c r="H3" i="40"/>
  <c r="J3" i="40" s="1"/>
  <c r="L32" i="40"/>
  <c r="K30" i="39"/>
  <c r="H3" i="39"/>
  <c r="L32" i="39"/>
  <c r="K30" i="38"/>
  <c r="K15" i="24" s="1"/>
  <c r="H3" i="38"/>
  <c r="Z26" i="38"/>
  <c r="AF2" i="38" s="1"/>
  <c r="Z3" i="38" s="1"/>
  <c r="H3" i="37"/>
  <c r="AA26" i="37"/>
  <c r="L30" i="37"/>
  <c r="K30" i="36"/>
  <c r="H3" i="36"/>
  <c r="Z26" i="36"/>
  <c r="AF2" i="36" s="1"/>
  <c r="Z3" i="36" s="1"/>
  <c r="B42" i="26"/>
  <c r="P42" i="26"/>
  <c r="AB8" i="26" s="1"/>
  <c r="AA8" i="26"/>
  <c r="AK11" i="26" l="1"/>
  <c r="AG11" i="26"/>
  <c r="AC11" i="26"/>
  <c r="N42" i="26"/>
  <c r="X1" i="26" s="1"/>
  <c r="K24" i="23"/>
  <c r="L24" i="23" s="1"/>
  <c r="K28" i="23"/>
  <c r="L28" i="23" s="1"/>
  <c r="K25" i="23"/>
  <c r="L25" i="23" s="1"/>
  <c r="K30" i="23"/>
  <c r="L30" i="23" s="1"/>
  <c r="K32" i="23"/>
  <c r="L32" i="23" s="1"/>
  <c r="K36" i="23"/>
  <c r="L36" i="23" s="1"/>
  <c r="K39" i="23"/>
  <c r="L39" i="23" s="1"/>
  <c r="K41" i="23"/>
  <c r="L41" i="23" s="1"/>
  <c r="K42" i="23"/>
  <c r="L42" i="23" s="1"/>
  <c r="K26" i="23"/>
  <c r="L26" i="23" s="1"/>
  <c r="K27" i="23"/>
  <c r="L27" i="23" s="1"/>
  <c r="K34" i="23"/>
  <c r="L34" i="23" s="1"/>
  <c r="K35" i="23"/>
  <c r="L35" i="23" s="1"/>
  <c r="K40" i="23"/>
  <c r="L40" i="23" s="1"/>
  <c r="K29" i="23"/>
  <c r="L29" i="23" s="1"/>
  <c r="K31" i="23"/>
  <c r="L31" i="23" s="1"/>
  <c r="K44" i="23"/>
  <c r="L44" i="23" s="1"/>
  <c r="K46" i="23"/>
  <c r="L46" i="23" s="1"/>
  <c r="K48" i="23"/>
  <c r="L48" i="23" s="1"/>
  <c r="K50" i="23"/>
  <c r="L50" i="23" s="1"/>
  <c r="K51" i="23"/>
  <c r="L51" i="23" s="1"/>
  <c r="K53" i="23"/>
  <c r="L53" i="23" s="1"/>
  <c r="K54" i="23"/>
  <c r="L54" i="23" s="1"/>
  <c r="K55" i="23"/>
  <c r="L55" i="23" s="1"/>
  <c r="K57" i="23"/>
  <c r="L57" i="23" s="1"/>
  <c r="K59" i="23"/>
  <c r="L59" i="23" s="1"/>
  <c r="K61" i="23"/>
  <c r="L61" i="23" s="1"/>
  <c r="K64" i="23"/>
  <c r="L64" i="23" s="1"/>
  <c r="K66" i="23"/>
  <c r="L66" i="23" s="1"/>
  <c r="K33" i="23"/>
  <c r="L33" i="23" s="1"/>
  <c r="K38" i="23"/>
  <c r="L38" i="23" s="1"/>
  <c r="K43" i="23"/>
  <c r="L43" i="23" s="1"/>
  <c r="K49" i="23"/>
  <c r="L49" i="23" s="1"/>
  <c r="K56" i="23"/>
  <c r="L56" i="23" s="1"/>
  <c r="K60" i="23"/>
  <c r="L60" i="23" s="1"/>
  <c r="K63" i="23"/>
  <c r="L63" i="23" s="1"/>
  <c r="K47" i="23"/>
  <c r="L47" i="23" s="1"/>
  <c r="K65" i="23"/>
  <c r="L65" i="23" s="1"/>
  <c r="K67" i="23"/>
  <c r="L67" i="23" s="1"/>
  <c r="K70" i="23"/>
  <c r="L70" i="23" s="1"/>
  <c r="K72" i="23"/>
  <c r="L72" i="23" s="1"/>
  <c r="K73" i="23"/>
  <c r="L73" i="23" s="1"/>
  <c r="K75" i="23"/>
  <c r="L75" i="23" s="1"/>
  <c r="K77" i="23"/>
  <c r="L77" i="23" s="1"/>
  <c r="K79" i="23"/>
  <c r="L79" i="23" s="1"/>
  <c r="K80" i="23"/>
  <c r="L80" i="23" s="1"/>
  <c r="K82" i="23"/>
  <c r="L82" i="23" s="1"/>
  <c r="K84" i="23"/>
  <c r="L84" i="23" s="1"/>
  <c r="K86" i="23"/>
  <c r="L86" i="23" s="1"/>
  <c r="K87" i="23"/>
  <c r="L87" i="23" s="1"/>
  <c r="K88" i="23"/>
  <c r="L88" i="23" s="1"/>
  <c r="K89" i="23"/>
  <c r="L89" i="23" s="1"/>
  <c r="K95" i="23"/>
  <c r="L95" i="23" s="1"/>
  <c r="K100" i="23"/>
  <c r="L100" i="23" s="1"/>
  <c r="K108" i="23"/>
  <c r="L108" i="23" s="1"/>
  <c r="K111" i="23"/>
  <c r="L111" i="23" s="1"/>
  <c r="K114" i="23"/>
  <c r="L114" i="23" s="1"/>
  <c r="K116" i="23"/>
  <c r="L116" i="23" s="1"/>
  <c r="K118" i="23"/>
  <c r="L118" i="23" s="1"/>
  <c r="K120" i="23"/>
  <c r="L120" i="23" s="1"/>
  <c r="K122" i="23"/>
  <c r="L122" i="23" s="1"/>
  <c r="K37" i="23"/>
  <c r="L37" i="23" s="1"/>
  <c r="K45" i="23"/>
  <c r="L45" i="23" s="1"/>
  <c r="K52" i="23"/>
  <c r="L52" i="23" s="1"/>
  <c r="K58" i="23"/>
  <c r="L58" i="23" s="1"/>
  <c r="K62" i="23"/>
  <c r="L62" i="23" s="1"/>
  <c r="K68" i="23"/>
  <c r="L68" i="23" s="1"/>
  <c r="K69" i="23"/>
  <c r="L69" i="23" s="1"/>
  <c r="K71" i="23"/>
  <c r="L71" i="23" s="1"/>
  <c r="K74" i="23"/>
  <c r="L74" i="23" s="1"/>
  <c r="K76" i="23"/>
  <c r="L76" i="23" s="1"/>
  <c r="K78" i="23"/>
  <c r="L78" i="23" s="1"/>
  <c r="K81" i="23"/>
  <c r="L81" i="23" s="1"/>
  <c r="K83" i="23"/>
  <c r="L83" i="23" s="1"/>
  <c r="K85" i="23"/>
  <c r="L85" i="23" s="1"/>
  <c r="K90" i="23"/>
  <c r="L90" i="23" s="1"/>
  <c r="K91" i="23"/>
  <c r="L91" i="23" s="1"/>
  <c r="K97" i="23"/>
  <c r="L97" i="23" s="1"/>
  <c r="K98" i="23"/>
  <c r="L98" i="23" s="1"/>
  <c r="K103" i="23"/>
  <c r="L103" i="23" s="1"/>
  <c r="K105" i="23"/>
  <c r="L105" i="23" s="1"/>
  <c r="K106" i="23"/>
  <c r="L106" i="23" s="1"/>
  <c r="K112" i="23"/>
  <c r="L112" i="23" s="1"/>
  <c r="K113" i="23"/>
  <c r="L113" i="23" s="1"/>
  <c r="K115" i="23"/>
  <c r="L115" i="23" s="1"/>
  <c r="K121" i="23"/>
  <c r="L121" i="23" s="1"/>
  <c r="K123" i="23"/>
  <c r="L123" i="23" s="1"/>
  <c r="K125" i="23"/>
  <c r="L125" i="23" s="1"/>
  <c r="K130" i="23"/>
  <c r="L130" i="23" s="1"/>
  <c r="K132" i="23"/>
  <c r="L132" i="23" s="1"/>
  <c r="K134" i="23"/>
  <c r="L134" i="23" s="1"/>
  <c r="K136" i="23"/>
  <c r="L136" i="23" s="1"/>
  <c r="K138" i="23"/>
  <c r="L138" i="23" s="1"/>
  <c r="K140" i="23"/>
  <c r="L140" i="23" s="1"/>
  <c r="K142" i="23"/>
  <c r="L142" i="23" s="1"/>
  <c r="K143" i="23"/>
  <c r="L143" i="23" s="1"/>
  <c r="K144" i="23"/>
  <c r="L144" i="23" s="1"/>
  <c r="K145" i="23"/>
  <c r="L145" i="23" s="1"/>
  <c r="K146" i="23"/>
  <c r="L146" i="23" s="1"/>
  <c r="K147" i="23"/>
  <c r="L147" i="23" s="1"/>
  <c r="K148" i="23"/>
  <c r="L148" i="23" s="1"/>
  <c r="K149" i="23"/>
  <c r="L149" i="23" s="1"/>
  <c r="K150" i="23"/>
  <c r="L150" i="23" s="1"/>
  <c r="K151" i="23"/>
  <c r="L151" i="23" s="1"/>
  <c r="K154" i="23"/>
  <c r="L154" i="23" s="1"/>
  <c r="K155" i="23"/>
  <c r="L155" i="23" s="1"/>
  <c r="K158" i="23"/>
  <c r="L158" i="23" s="1"/>
  <c r="K159" i="23"/>
  <c r="L159" i="23" s="1"/>
  <c r="K162" i="23"/>
  <c r="L162" i="23" s="1"/>
  <c r="K163" i="23"/>
  <c r="L163" i="23" s="1"/>
  <c r="K166" i="23"/>
  <c r="L166" i="23" s="1"/>
  <c r="K167" i="23"/>
  <c r="L167" i="23" s="1"/>
  <c r="K170" i="23"/>
  <c r="L170" i="23" s="1"/>
  <c r="K171" i="23"/>
  <c r="L171" i="23" s="1"/>
  <c r="K174" i="23"/>
  <c r="L174" i="23" s="1"/>
  <c r="K99" i="23"/>
  <c r="L99" i="23" s="1"/>
  <c r="K101" i="23"/>
  <c r="L101" i="23" s="1"/>
  <c r="K104" i="23"/>
  <c r="L104" i="23" s="1"/>
  <c r="K110" i="23"/>
  <c r="L110" i="23" s="1"/>
  <c r="K124" i="23"/>
  <c r="L124" i="23" s="1"/>
  <c r="K126" i="23"/>
  <c r="L126" i="23" s="1"/>
  <c r="K127" i="23"/>
  <c r="L127" i="23" s="1"/>
  <c r="K128" i="23"/>
  <c r="L128" i="23" s="1"/>
  <c r="K129" i="23"/>
  <c r="L129" i="23" s="1"/>
  <c r="K131" i="23"/>
  <c r="L131" i="23" s="1"/>
  <c r="K137" i="23"/>
  <c r="L137" i="23" s="1"/>
  <c r="K139" i="23"/>
  <c r="L139" i="23" s="1"/>
  <c r="K152" i="23"/>
  <c r="L152" i="23" s="1"/>
  <c r="K153" i="23"/>
  <c r="L153" i="23" s="1"/>
  <c r="K160" i="23"/>
  <c r="L160" i="23" s="1"/>
  <c r="K161" i="23"/>
  <c r="L161" i="23" s="1"/>
  <c r="K168" i="23"/>
  <c r="L168" i="23" s="1"/>
  <c r="K169" i="23"/>
  <c r="L169" i="23" s="1"/>
  <c r="K177" i="23"/>
  <c r="L177" i="23" s="1"/>
  <c r="K179" i="23"/>
  <c r="L179" i="23" s="1"/>
  <c r="K180" i="23"/>
  <c r="L180" i="23" s="1"/>
  <c r="K182" i="23"/>
  <c r="L182" i="23" s="1"/>
  <c r="K185" i="23"/>
  <c r="L185" i="23" s="1"/>
  <c r="K187" i="23"/>
  <c r="L187" i="23" s="1"/>
  <c r="K189" i="23"/>
  <c r="L189" i="23" s="1"/>
  <c r="K191" i="23"/>
  <c r="L191" i="23" s="1"/>
  <c r="K192" i="23"/>
  <c r="L192" i="23" s="1"/>
  <c r="K194" i="23"/>
  <c r="L194" i="23" s="1"/>
  <c r="K195" i="23"/>
  <c r="L195" i="23" s="1"/>
  <c r="K198" i="23"/>
  <c r="L198" i="23" s="1"/>
  <c r="K201" i="23"/>
  <c r="L201" i="23" s="1"/>
  <c r="K205" i="23"/>
  <c r="L205" i="23" s="1"/>
  <c r="K206" i="23"/>
  <c r="L206" i="23" s="1"/>
  <c r="K209" i="23"/>
  <c r="L209" i="23" s="1"/>
  <c r="K210" i="23"/>
  <c r="L210" i="23" s="1"/>
  <c r="K212" i="23"/>
  <c r="L212" i="23" s="1"/>
  <c r="K94" i="23"/>
  <c r="L94" i="23" s="1"/>
  <c r="K102" i="23"/>
  <c r="L102" i="23" s="1"/>
  <c r="K109" i="23"/>
  <c r="L109" i="23" s="1"/>
  <c r="K117" i="23"/>
  <c r="L117" i="23" s="1"/>
  <c r="K141" i="23"/>
  <c r="L141" i="23" s="1"/>
  <c r="K164" i="23"/>
  <c r="L164" i="23" s="1"/>
  <c r="K165" i="23"/>
  <c r="L165" i="23" s="1"/>
  <c r="K176" i="23"/>
  <c r="L176" i="23" s="1"/>
  <c r="K178" i="23"/>
  <c r="L178" i="23" s="1"/>
  <c r="K186" i="23"/>
  <c r="L186" i="23" s="1"/>
  <c r="K188" i="23"/>
  <c r="L188" i="23" s="1"/>
  <c r="K196" i="23"/>
  <c r="L196" i="23" s="1"/>
  <c r="K199" i="23"/>
  <c r="L199" i="23" s="1"/>
  <c r="K202" i="23"/>
  <c r="L202" i="23" s="1"/>
  <c r="K203" i="23"/>
  <c r="L203" i="23" s="1"/>
  <c r="K204" i="23"/>
  <c r="L204" i="23" s="1"/>
  <c r="K207" i="23"/>
  <c r="L207" i="23" s="1"/>
  <c r="K208" i="23"/>
  <c r="L208" i="23" s="1"/>
  <c r="K211" i="23"/>
  <c r="L211" i="23" s="1"/>
  <c r="K214" i="23"/>
  <c r="L214" i="23" s="1"/>
  <c r="K219" i="23"/>
  <c r="L219" i="23" s="1"/>
  <c r="K220" i="23"/>
  <c r="L220" i="23" s="1"/>
  <c r="K221" i="23"/>
  <c r="L221" i="23" s="1"/>
  <c r="K222" i="23"/>
  <c r="L222" i="23" s="1"/>
  <c r="K223" i="23"/>
  <c r="L223" i="23" s="1"/>
  <c r="K227" i="23"/>
  <c r="L227" i="23" s="1"/>
  <c r="K228" i="23"/>
  <c r="L228" i="23" s="1"/>
  <c r="K239" i="23"/>
  <c r="L239" i="23" s="1"/>
  <c r="K241" i="23"/>
  <c r="L241" i="23" s="1"/>
  <c r="K244" i="23"/>
  <c r="L244" i="23" s="1"/>
  <c r="K246" i="23"/>
  <c r="L246" i="23" s="1"/>
  <c r="K248" i="23"/>
  <c r="L248" i="23" s="1"/>
  <c r="K250" i="23"/>
  <c r="L250" i="23" s="1"/>
  <c r="K251" i="23"/>
  <c r="L251" i="23" s="1"/>
  <c r="K253" i="23"/>
  <c r="L253" i="23" s="1"/>
  <c r="K256" i="23"/>
  <c r="L256" i="23" s="1"/>
  <c r="K258" i="23"/>
  <c r="L258" i="23" s="1"/>
  <c r="K260" i="23"/>
  <c r="L260" i="23" s="1"/>
  <c r="K269" i="23"/>
  <c r="L269" i="23" s="1"/>
  <c r="K270" i="23"/>
  <c r="L270" i="23" s="1"/>
  <c r="K272" i="23"/>
  <c r="L272" i="23" s="1"/>
  <c r="K275" i="23"/>
  <c r="L275" i="23" s="1"/>
  <c r="K276" i="23"/>
  <c r="L276" i="23" s="1"/>
  <c r="K278" i="23"/>
  <c r="L278" i="23" s="1"/>
  <c r="K281" i="23"/>
  <c r="L281" i="23" s="1"/>
  <c r="K282" i="23"/>
  <c r="L282" i="23" s="1"/>
  <c r="K284" i="23"/>
  <c r="L284" i="23" s="1"/>
  <c r="K287" i="23"/>
  <c r="L287" i="23" s="1"/>
  <c r="K288" i="23"/>
  <c r="L288" i="23" s="1"/>
  <c r="K291" i="23"/>
  <c r="L291" i="23" s="1"/>
  <c r="K293" i="23"/>
  <c r="L293" i="23" s="1"/>
  <c r="K294" i="23"/>
  <c r="L294" i="23" s="1"/>
  <c r="K297" i="23"/>
  <c r="L297" i="23" s="1"/>
  <c r="K298" i="23"/>
  <c r="L298" i="23" s="1"/>
  <c r="K301" i="23"/>
  <c r="L301" i="23" s="1"/>
  <c r="K302" i="23"/>
  <c r="L302" i="23" s="1"/>
  <c r="K304" i="23"/>
  <c r="L304" i="23" s="1"/>
  <c r="K306" i="23"/>
  <c r="L306" i="23" s="1"/>
  <c r="K308" i="23"/>
  <c r="L308" i="23" s="1"/>
  <c r="K310" i="23"/>
  <c r="L310" i="23" s="1"/>
  <c r="K312" i="23"/>
  <c r="L312" i="23" s="1"/>
  <c r="K314" i="23"/>
  <c r="L314" i="23" s="1"/>
  <c r="K317" i="23"/>
  <c r="L317" i="23" s="1"/>
  <c r="K92" i="23"/>
  <c r="L92" i="23" s="1"/>
  <c r="K93" i="23"/>
  <c r="L93" i="23" s="1"/>
  <c r="K96" i="23"/>
  <c r="L96" i="23" s="1"/>
  <c r="K107" i="23"/>
  <c r="L107" i="23" s="1"/>
  <c r="K119" i="23"/>
  <c r="L119" i="23" s="1"/>
  <c r="K133" i="23"/>
  <c r="L133" i="23" s="1"/>
  <c r="K135" i="23"/>
  <c r="L135" i="23" s="1"/>
  <c r="K156" i="23"/>
  <c r="L156" i="23" s="1"/>
  <c r="K157" i="23"/>
  <c r="L157" i="23" s="1"/>
  <c r="K172" i="23"/>
  <c r="L172" i="23" s="1"/>
  <c r="K173" i="23"/>
  <c r="L173" i="23" s="1"/>
  <c r="K175" i="23"/>
  <c r="L175" i="23" s="1"/>
  <c r="K181" i="23"/>
  <c r="L181" i="23" s="1"/>
  <c r="K183" i="23"/>
  <c r="L183" i="23" s="1"/>
  <c r="K184" i="23"/>
  <c r="L184" i="23" s="1"/>
  <c r="K190" i="23"/>
  <c r="L190" i="23" s="1"/>
  <c r="K193" i="23"/>
  <c r="L193" i="23" s="1"/>
  <c r="K197" i="23"/>
  <c r="L197" i="23" s="1"/>
  <c r="K200" i="23"/>
  <c r="L200" i="23" s="1"/>
  <c r="K213" i="23"/>
  <c r="L213" i="23" s="1"/>
  <c r="K215" i="23"/>
  <c r="L215" i="23" s="1"/>
  <c r="K216" i="23"/>
  <c r="L216" i="23" s="1"/>
  <c r="K217" i="23"/>
  <c r="L217" i="23" s="1"/>
  <c r="K218" i="23"/>
  <c r="L218" i="23" s="1"/>
  <c r="K224" i="23"/>
  <c r="L224" i="23" s="1"/>
  <c r="K225" i="23"/>
  <c r="L225" i="23" s="1"/>
  <c r="K226" i="23"/>
  <c r="L226" i="23" s="1"/>
  <c r="K229" i="23"/>
  <c r="L229" i="23" s="1"/>
  <c r="K230" i="23"/>
  <c r="L230" i="23" s="1"/>
  <c r="K231" i="23"/>
  <c r="L231" i="23" s="1"/>
  <c r="K232" i="23"/>
  <c r="L232" i="23" s="1"/>
  <c r="K233" i="23"/>
  <c r="L233" i="23" s="1"/>
  <c r="K234" i="23"/>
  <c r="L234" i="23" s="1"/>
  <c r="K235" i="23"/>
  <c r="L235" i="23" s="1"/>
  <c r="K236" i="23"/>
  <c r="L236" i="23" s="1"/>
  <c r="K237" i="23"/>
  <c r="L237" i="23" s="1"/>
  <c r="K238" i="23"/>
  <c r="L238" i="23" s="1"/>
  <c r="K240" i="23"/>
  <c r="L240" i="23" s="1"/>
  <c r="K242" i="23"/>
  <c r="L242" i="23" s="1"/>
  <c r="K243" i="23"/>
  <c r="L243" i="23" s="1"/>
  <c r="K245" i="23"/>
  <c r="L245" i="23" s="1"/>
  <c r="K247" i="23"/>
  <c r="L247" i="23" s="1"/>
  <c r="K249" i="23"/>
  <c r="L249" i="23" s="1"/>
  <c r="K252" i="23"/>
  <c r="L252" i="23" s="1"/>
  <c r="K254" i="23"/>
  <c r="L254" i="23" s="1"/>
  <c r="K255" i="23"/>
  <c r="L255" i="23" s="1"/>
  <c r="K257" i="23"/>
  <c r="L257" i="23" s="1"/>
  <c r="K259" i="23"/>
  <c r="L259" i="23" s="1"/>
  <c r="K261" i="23"/>
  <c r="L261" i="23" s="1"/>
  <c r="K262" i="23"/>
  <c r="L262" i="23" s="1"/>
  <c r="K263" i="23"/>
  <c r="L263" i="23" s="1"/>
  <c r="K264" i="23"/>
  <c r="L264" i="23" s="1"/>
  <c r="K265" i="23"/>
  <c r="L265" i="23" s="1"/>
  <c r="K266" i="23"/>
  <c r="L266" i="23" s="1"/>
  <c r="K267" i="23"/>
  <c r="L267" i="23" s="1"/>
  <c r="K268" i="23"/>
  <c r="L268" i="23" s="1"/>
  <c r="K271" i="23"/>
  <c r="L271" i="23" s="1"/>
  <c r="K273" i="23"/>
  <c r="L273" i="23" s="1"/>
  <c r="K274" i="23"/>
  <c r="L274" i="23" s="1"/>
  <c r="K277" i="23"/>
  <c r="L277" i="23" s="1"/>
  <c r="K279" i="23"/>
  <c r="L279" i="23" s="1"/>
  <c r="K280" i="23"/>
  <c r="L280" i="23" s="1"/>
  <c r="K283" i="23"/>
  <c r="L283" i="23" s="1"/>
  <c r="K285" i="23"/>
  <c r="L285" i="23" s="1"/>
  <c r="K286" i="23"/>
  <c r="L286" i="23" s="1"/>
  <c r="K289" i="23"/>
  <c r="L289" i="23" s="1"/>
  <c r="K290" i="23"/>
  <c r="L290" i="23" s="1"/>
  <c r="K292" i="23"/>
  <c r="L292" i="23" s="1"/>
  <c r="K295" i="23"/>
  <c r="L295" i="23" s="1"/>
  <c r="K296" i="23"/>
  <c r="L296" i="23" s="1"/>
  <c r="K299" i="23"/>
  <c r="L299" i="23" s="1"/>
  <c r="K300" i="23"/>
  <c r="L300" i="23" s="1"/>
  <c r="K303" i="23"/>
  <c r="L303" i="23" s="1"/>
  <c r="K305" i="23"/>
  <c r="L305" i="23" s="1"/>
  <c r="K307" i="23"/>
  <c r="L307" i="23" s="1"/>
  <c r="K309" i="23"/>
  <c r="L309" i="23" s="1"/>
  <c r="K311" i="23"/>
  <c r="L311" i="23" s="1"/>
  <c r="K313" i="23"/>
  <c r="L313" i="23" s="1"/>
  <c r="K315" i="23"/>
  <c r="L315" i="23" s="1"/>
  <c r="K316" i="23"/>
  <c r="L316" i="23" s="1"/>
  <c r="K320" i="23"/>
  <c r="L320" i="23" s="1"/>
  <c r="K321" i="23"/>
  <c r="L321" i="23" s="1"/>
  <c r="K318" i="23"/>
  <c r="L318" i="23" s="1"/>
  <c r="K319" i="23"/>
  <c r="L319" i="23" s="1"/>
  <c r="K322" i="23"/>
  <c r="L322" i="23" s="1"/>
  <c r="K23" i="23"/>
  <c r="T27" i="23"/>
  <c r="U27" i="23" s="1"/>
  <c r="T30" i="23"/>
  <c r="U30" i="23" s="1"/>
  <c r="T24" i="23"/>
  <c r="U24" i="23" s="1"/>
  <c r="T25" i="23"/>
  <c r="U25" i="23" s="1"/>
  <c r="T31" i="23"/>
  <c r="U31" i="23" s="1"/>
  <c r="T34" i="23"/>
  <c r="U34" i="23" s="1"/>
  <c r="T35" i="23"/>
  <c r="U35" i="23" s="1"/>
  <c r="T36" i="23"/>
  <c r="U36" i="23" s="1"/>
  <c r="T38" i="23"/>
  <c r="U38" i="23" s="1"/>
  <c r="T41" i="23"/>
  <c r="U41" i="23" s="1"/>
  <c r="T29" i="23"/>
  <c r="U29" i="23" s="1"/>
  <c r="T39" i="23"/>
  <c r="U39" i="23" s="1"/>
  <c r="T28" i="23"/>
  <c r="U28" i="23" s="1"/>
  <c r="T33" i="23"/>
  <c r="U33" i="23" s="1"/>
  <c r="T37" i="23"/>
  <c r="U37" i="23" s="1"/>
  <c r="T43" i="23"/>
  <c r="U43" i="23" s="1"/>
  <c r="T44" i="23"/>
  <c r="U44" i="23" s="1"/>
  <c r="T45" i="23"/>
  <c r="U45" i="23" s="1"/>
  <c r="T47" i="23"/>
  <c r="U47" i="23" s="1"/>
  <c r="T48" i="23"/>
  <c r="U48" i="23" s="1"/>
  <c r="T49" i="23"/>
  <c r="U49" i="23" s="1"/>
  <c r="T53" i="23"/>
  <c r="U53" i="23" s="1"/>
  <c r="T58" i="23"/>
  <c r="U58" i="23" s="1"/>
  <c r="T62" i="23"/>
  <c r="U62" i="23" s="1"/>
  <c r="T63" i="23"/>
  <c r="U63" i="23" s="1"/>
  <c r="T64" i="23"/>
  <c r="U64" i="23" s="1"/>
  <c r="T65" i="23"/>
  <c r="U65" i="23" s="1"/>
  <c r="T67" i="23"/>
  <c r="U67" i="23" s="1"/>
  <c r="T26" i="23"/>
  <c r="U26" i="23" s="1"/>
  <c r="T32" i="23"/>
  <c r="U32" i="23" s="1"/>
  <c r="T40" i="23"/>
  <c r="U40" i="23" s="1"/>
  <c r="T42" i="23"/>
  <c r="U42" i="23" s="1"/>
  <c r="T46" i="23"/>
  <c r="U46" i="23" s="1"/>
  <c r="T52" i="23"/>
  <c r="U52" i="23" s="1"/>
  <c r="T54" i="23"/>
  <c r="U54" i="23" s="1"/>
  <c r="T55" i="23"/>
  <c r="U55" i="23" s="1"/>
  <c r="T57" i="23"/>
  <c r="U57" i="23" s="1"/>
  <c r="T59" i="23"/>
  <c r="U59" i="23" s="1"/>
  <c r="T61" i="23"/>
  <c r="U61" i="23" s="1"/>
  <c r="T50" i="23"/>
  <c r="U50" i="23" s="1"/>
  <c r="T51" i="23"/>
  <c r="U51" i="23" s="1"/>
  <c r="T56" i="23"/>
  <c r="U56" i="23" s="1"/>
  <c r="T60" i="23"/>
  <c r="U60" i="23" s="1"/>
  <c r="T69" i="23"/>
  <c r="U69" i="23" s="1"/>
  <c r="T71" i="23"/>
  <c r="U71" i="23" s="1"/>
  <c r="T72" i="23"/>
  <c r="U72" i="23" s="1"/>
  <c r="T74" i="23"/>
  <c r="U74" i="23" s="1"/>
  <c r="T77" i="23"/>
  <c r="U77" i="23" s="1"/>
  <c r="T78" i="23"/>
  <c r="U78" i="23" s="1"/>
  <c r="T79" i="23"/>
  <c r="U79" i="23" s="1"/>
  <c r="T81" i="23"/>
  <c r="U81" i="23" s="1"/>
  <c r="T82" i="23"/>
  <c r="U82" i="23" s="1"/>
  <c r="T85" i="23"/>
  <c r="U85" i="23" s="1"/>
  <c r="T86" i="23"/>
  <c r="U86" i="23" s="1"/>
  <c r="T87" i="23"/>
  <c r="U87" i="23" s="1"/>
  <c r="T88" i="23"/>
  <c r="U88" i="23" s="1"/>
  <c r="T94" i="23"/>
  <c r="U94" i="23" s="1"/>
  <c r="T95" i="23"/>
  <c r="U95" i="23" s="1"/>
  <c r="T98" i="23"/>
  <c r="U98" i="23" s="1"/>
  <c r="T99" i="23"/>
  <c r="U99" i="23" s="1"/>
  <c r="T102" i="23"/>
  <c r="U102" i="23" s="1"/>
  <c r="T103" i="23"/>
  <c r="U103" i="23" s="1"/>
  <c r="T106" i="23"/>
  <c r="U106" i="23" s="1"/>
  <c r="T107" i="23"/>
  <c r="U107" i="23" s="1"/>
  <c r="T113" i="23"/>
  <c r="U113" i="23" s="1"/>
  <c r="T114" i="23"/>
  <c r="U114" i="23" s="1"/>
  <c r="T115" i="23"/>
  <c r="U115" i="23" s="1"/>
  <c r="T117" i="23"/>
  <c r="U117" i="23" s="1"/>
  <c r="T118" i="23"/>
  <c r="U118" i="23" s="1"/>
  <c r="T121" i="23"/>
  <c r="U121" i="23" s="1"/>
  <c r="T122" i="23"/>
  <c r="U122" i="23" s="1"/>
  <c r="T123" i="23"/>
  <c r="U123" i="23" s="1"/>
  <c r="T66" i="23"/>
  <c r="U66" i="23" s="1"/>
  <c r="T68" i="23"/>
  <c r="U68" i="23" s="1"/>
  <c r="T70" i="23"/>
  <c r="U70" i="23" s="1"/>
  <c r="T73" i="23"/>
  <c r="U73" i="23" s="1"/>
  <c r="T75" i="23"/>
  <c r="U75" i="23" s="1"/>
  <c r="T76" i="23"/>
  <c r="U76" i="23" s="1"/>
  <c r="T80" i="23"/>
  <c r="U80" i="23" s="1"/>
  <c r="T83" i="23"/>
  <c r="U83" i="23" s="1"/>
  <c r="T84" i="23"/>
  <c r="U84" i="23" s="1"/>
  <c r="T89" i="23"/>
  <c r="U89" i="23" s="1"/>
  <c r="T90" i="23"/>
  <c r="U90" i="23" s="1"/>
  <c r="T91" i="23"/>
  <c r="U91" i="23" s="1"/>
  <c r="T92" i="23"/>
  <c r="U92" i="23" s="1"/>
  <c r="T97" i="23"/>
  <c r="U97" i="23" s="1"/>
  <c r="T100" i="23"/>
  <c r="U100" i="23" s="1"/>
  <c r="T105" i="23"/>
  <c r="U105" i="23" s="1"/>
  <c r="T108" i="23"/>
  <c r="U108" i="23" s="1"/>
  <c r="T116" i="23"/>
  <c r="U116" i="23" s="1"/>
  <c r="T124" i="23"/>
  <c r="U124" i="23" s="1"/>
  <c r="T129" i="23"/>
  <c r="U129" i="23" s="1"/>
  <c r="T130" i="23"/>
  <c r="U130" i="23" s="1"/>
  <c r="T131" i="23"/>
  <c r="U131" i="23" s="1"/>
  <c r="T133" i="23"/>
  <c r="U133" i="23" s="1"/>
  <c r="T134" i="23"/>
  <c r="U134" i="23" s="1"/>
  <c r="T137" i="23"/>
  <c r="U137" i="23" s="1"/>
  <c r="T138" i="23"/>
  <c r="U138" i="23" s="1"/>
  <c r="T139" i="23"/>
  <c r="U139" i="23" s="1"/>
  <c r="T141" i="23"/>
  <c r="U141" i="23" s="1"/>
  <c r="T142" i="23"/>
  <c r="U142" i="23" s="1"/>
  <c r="T144" i="23"/>
  <c r="U144" i="23" s="1"/>
  <c r="T146" i="23"/>
  <c r="U146" i="23" s="1"/>
  <c r="T150" i="23"/>
  <c r="U150" i="23" s="1"/>
  <c r="T153" i="23"/>
  <c r="U153" i="23" s="1"/>
  <c r="T154" i="23"/>
  <c r="U154" i="23" s="1"/>
  <c r="T157" i="23"/>
  <c r="U157" i="23" s="1"/>
  <c r="T158" i="23"/>
  <c r="U158" i="23" s="1"/>
  <c r="T161" i="23"/>
  <c r="U161" i="23" s="1"/>
  <c r="T162" i="23"/>
  <c r="U162" i="23" s="1"/>
  <c r="T165" i="23"/>
  <c r="U165" i="23" s="1"/>
  <c r="T166" i="23"/>
  <c r="U166" i="23" s="1"/>
  <c r="T169" i="23"/>
  <c r="U169" i="23" s="1"/>
  <c r="T170" i="23"/>
  <c r="U170" i="23" s="1"/>
  <c r="T173" i="23"/>
  <c r="U173" i="23" s="1"/>
  <c r="T174" i="23"/>
  <c r="U174" i="23" s="1"/>
  <c r="T175" i="23"/>
  <c r="U175" i="23" s="1"/>
  <c r="T93" i="23"/>
  <c r="U93" i="23" s="1"/>
  <c r="T96" i="23"/>
  <c r="U96" i="23" s="1"/>
  <c r="T109" i="23"/>
  <c r="U109" i="23" s="1"/>
  <c r="T112" i="23"/>
  <c r="U112" i="23" s="1"/>
  <c r="T119" i="23"/>
  <c r="U119" i="23" s="1"/>
  <c r="T125" i="23"/>
  <c r="U125" i="23" s="1"/>
  <c r="T127" i="23"/>
  <c r="U127" i="23" s="1"/>
  <c r="T132" i="23"/>
  <c r="U132" i="23" s="1"/>
  <c r="T140" i="23"/>
  <c r="U140" i="23" s="1"/>
  <c r="T143" i="23"/>
  <c r="U143" i="23" s="1"/>
  <c r="T145" i="23"/>
  <c r="U145" i="23" s="1"/>
  <c r="T147" i="23"/>
  <c r="U147" i="23" s="1"/>
  <c r="T148" i="23"/>
  <c r="U148" i="23" s="1"/>
  <c r="T151" i="23"/>
  <c r="U151" i="23" s="1"/>
  <c r="T156" i="23"/>
  <c r="U156" i="23" s="1"/>
  <c r="T159" i="23"/>
  <c r="U159" i="23" s="1"/>
  <c r="T164" i="23"/>
  <c r="U164" i="23" s="1"/>
  <c r="T167" i="23"/>
  <c r="U167" i="23" s="1"/>
  <c r="T172" i="23"/>
  <c r="U172" i="23" s="1"/>
  <c r="T176" i="23"/>
  <c r="U176" i="23" s="1"/>
  <c r="T179" i="23"/>
  <c r="U179" i="23" s="1"/>
  <c r="T181" i="23"/>
  <c r="U181" i="23" s="1"/>
  <c r="T182" i="23"/>
  <c r="U182" i="23" s="1"/>
  <c r="T183" i="23"/>
  <c r="U183" i="23" s="1"/>
  <c r="T184" i="23"/>
  <c r="U184" i="23" s="1"/>
  <c r="T186" i="23"/>
  <c r="U186" i="23" s="1"/>
  <c r="T188" i="23"/>
  <c r="U188" i="23" s="1"/>
  <c r="T190" i="23"/>
  <c r="U190" i="23" s="1"/>
  <c r="T191" i="23"/>
  <c r="U191" i="23" s="1"/>
  <c r="T193" i="23"/>
  <c r="U193" i="23" s="1"/>
  <c r="T195" i="23"/>
  <c r="U195" i="23" s="1"/>
  <c r="T197" i="23"/>
  <c r="U197" i="23" s="1"/>
  <c r="T200" i="23"/>
  <c r="U200" i="23" s="1"/>
  <c r="T202" i="23"/>
  <c r="U202" i="23" s="1"/>
  <c r="T203" i="23"/>
  <c r="U203" i="23" s="1"/>
  <c r="T205" i="23"/>
  <c r="U205" i="23" s="1"/>
  <c r="T207" i="23"/>
  <c r="U207" i="23" s="1"/>
  <c r="T209" i="23"/>
  <c r="U209" i="23" s="1"/>
  <c r="T211" i="23"/>
  <c r="U211" i="23" s="1"/>
  <c r="T212" i="23"/>
  <c r="U212" i="23" s="1"/>
  <c r="T101" i="23"/>
  <c r="U101" i="23" s="1"/>
  <c r="T104" i="23"/>
  <c r="U104" i="23" s="1"/>
  <c r="T111" i="23"/>
  <c r="U111" i="23" s="1"/>
  <c r="T126" i="23"/>
  <c r="U126" i="23" s="1"/>
  <c r="T128" i="23"/>
  <c r="U128" i="23" s="1"/>
  <c r="T135" i="23"/>
  <c r="U135" i="23" s="1"/>
  <c r="T149" i="23"/>
  <c r="U149" i="23" s="1"/>
  <c r="T155" i="23"/>
  <c r="U155" i="23" s="1"/>
  <c r="T160" i="23"/>
  <c r="U160" i="23" s="1"/>
  <c r="T171" i="23"/>
  <c r="U171" i="23" s="1"/>
  <c r="T177" i="23"/>
  <c r="U177" i="23" s="1"/>
  <c r="T180" i="23"/>
  <c r="U180" i="23" s="1"/>
  <c r="T185" i="23"/>
  <c r="U185" i="23" s="1"/>
  <c r="T192" i="23"/>
  <c r="U192" i="23" s="1"/>
  <c r="T196" i="23"/>
  <c r="U196" i="23" s="1"/>
  <c r="T199" i="23"/>
  <c r="U199" i="23" s="1"/>
  <c r="T201" i="23"/>
  <c r="U201" i="23" s="1"/>
  <c r="T204" i="23"/>
  <c r="U204" i="23" s="1"/>
  <c r="T206" i="23"/>
  <c r="U206" i="23" s="1"/>
  <c r="T208" i="23"/>
  <c r="U208" i="23" s="1"/>
  <c r="T210" i="23"/>
  <c r="U210" i="23" s="1"/>
  <c r="T217" i="23"/>
  <c r="U217" i="23" s="1"/>
  <c r="T218" i="23"/>
  <c r="U218" i="23" s="1"/>
  <c r="T219" i="23"/>
  <c r="U219" i="23" s="1"/>
  <c r="T220" i="23"/>
  <c r="U220" i="23" s="1"/>
  <c r="T223" i="23"/>
  <c r="U223" i="23" s="1"/>
  <c r="T224" i="23"/>
  <c r="U224" i="23" s="1"/>
  <c r="T227" i="23"/>
  <c r="U227" i="23" s="1"/>
  <c r="T231" i="23"/>
  <c r="U231" i="23" s="1"/>
  <c r="T232" i="23"/>
  <c r="U232" i="23" s="1"/>
  <c r="T235" i="23"/>
  <c r="U235" i="23" s="1"/>
  <c r="T236" i="23"/>
  <c r="U236" i="23" s="1"/>
  <c r="T240" i="23"/>
  <c r="U240" i="23" s="1"/>
  <c r="T243" i="23"/>
  <c r="U243" i="23" s="1"/>
  <c r="T245" i="23"/>
  <c r="U245" i="23" s="1"/>
  <c r="T246" i="23"/>
  <c r="U246" i="23" s="1"/>
  <c r="T247" i="23"/>
  <c r="U247" i="23" s="1"/>
  <c r="T249" i="23"/>
  <c r="U249" i="23" s="1"/>
  <c r="T250" i="23"/>
  <c r="U250" i="23" s="1"/>
  <c r="T252" i="23"/>
  <c r="U252" i="23" s="1"/>
  <c r="T255" i="23"/>
  <c r="U255" i="23" s="1"/>
  <c r="T259" i="23"/>
  <c r="U259" i="23" s="1"/>
  <c r="T264" i="23"/>
  <c r="U264" i="23" s="1"/>
  <c r="T267" i="23"/>
  <c r="U267" i="23" s="1"/>
  <c r="T268" i="23"/>
  <c r="U268" i="23" s="1"/>
  <c r="T269" i="23"/>
  <c r="U269" i="23" s="1"/>
  <c r="T271" i="23"/>
  <c r="U271" i="23" s="1"/>
  <c r="T274" i="23"/>
  <c r="U274" i="23" s="1"/>
  <c r="T279" i="23"/>
  <c r="U279" i="23" s="1"/>
  <c r="T280" i="23"/>
  <c r="U280" i="23" s="1"/>
  <c r="T281" i="23"/>
  <c r="U281" i="23" s="1"/>
  <c r="T283" i="23"/>
  <c r="U283" i="23" s="1"/>
  <c r="T286" i="23"/>
  <c r="U286" i="23" s="1"/>
  <c r="T290" i="23"/>
  <c r="U290" i="23" s="1"/>
  <c r="T292" i="23"/>
  <c r="U292" i="23" s="1"/>
  <c r="T293" i="23"/>
  <c r="U293" i="23" s="1"/>
  <c r="T295" i="23"/>
  <c r="U295" i="23" s="1"/>
  <c r="T296" i="23"/>
  <c r="U296" i="23" s="1"/>
  <c r="T297" i="23"/>
  <c r="U297" i="23" s="1"/>
  <c r="T299" i="23"/>
  <c r="U299" i="23" s="1"/>
  <c r="T300" i="23"/>
  <c r="U300" i="23" s="1"/>
  <c r="T301" i="23"/>
  <c r="U301" i="23" s="1"/>
  <c r="T303" i="23"/>
  <c r="U303" i="23" s="1"/>
  <c r="T307" i="23"/>
  <c r="U307" i="23" s="1"/>
  <c r="T311" i="23"/>
  <c r="U311" i="23" s="1"/>
  <c r="T315" i="23"/>
  <c r="U315" i="23" s="1"/>
  <c r="T317" i="23"/>
  <c r="U317" i="23" s="1"/>
  <c r="T110" i="23"/>
  <c r="U110" i="23" s="1"/>
  <c r="T120" i="23"/>
  <c r="U120" i="23" s="1"/>
  <c r="T136" i="23"/>
  <c r="U136" i="23" s="1"/>
  <c r="T152" i="23"/>
  <c r="U152" i="23" s="1"/>
  <c r="T163" i="23"/>
  <c r="U163" i="23" s="1"/>
  <c r="T168" i="23"/>
  <c r="U168" i="23" s="1"/>
  <c r="T178" i="23"/>
  <c r="U178" i="23" s="1"/>
  <c r="T187" i="23"/>
  <c r="U187" i="23" s="1"/>
  <c r="T189" i="23"/>
  <c r="U189" i="23" s="1"/>
  <c r="T194" i="23"/>
  <c r="U194" i="23" s="1"/>
  <c r="T198" i="23"/>
  <c r="U198" i="23" s="1"/>
  <c r="T213" i="23"/>
  <c r="U213" i="23" s="1"/>
  <c r="T214" i="23"/>
  <c r="U214" i="23" s="1"/>
  <c r="T215" i="23"/>
  <c r="U215" i="23" s="1"/>
  <c r="T216" i="23"/>
  <c r="U216" i="23" s="1"/>
  <c r="T221" i="23"/>
  <c r="U221" i="23" s="1"/>
  <c r="T222" i="23"/>
  <c r="U222" i="23" s="1"/>
  <c r="T225" i="23"/>
  <c r="U225" i="23" s="1"/>
  <c r="T226" i="23"/>
  <c r="U226" i="23" s="1"/>
  <c r="T228" i="23"/>
  <c r="U228" i="23" s="1"/>
  <c r="T229" i="23"/>
  <c r="U229" i="23" s="1"/>
  <c r="T230" i="23"/>
  <c r="U230" i="23" s="1"/>
  <c r="T233" i="23"/>
  <c r="U233" i="23" s="1"/>
  <c r="T234" i="23"/>
  <c r="U234" i="23" s="1"/>
  <c r="T237" i="23"/>
  <c r="U237" i="23" s="1"/>
  <c r="T238" i="23"/>
  <c r="U238" i="23" s="1"/>
  <c r="T239" i="23"/>
  <c r="U239" i="23" s="1"/>
  <c r="T241" i="23"/>
  <c r="U241" i="23" s="1"/>
  <c r="T242" i="23"/>
  <c r="U242" i="23" s="1"/>
  <c r="T244" i="23"/>
  <c r="U244" i="23" s="1"/>
  <c r="T248" i="23"/>
  <c r="U248" i="23" s="1"/>
  <c r="T251" i="23"/>
  <c r="U251" i="23" s="1"/>
  <c r="T253" i="23"/>
  <c r="U253" i="23" s="1"/>
  <c r="T254" i="23"/>
  <c r="U254" i="23" s="1"/>
  <c r="T256" i="23"/>
  <c r="U256" i="23" s="1"/>
  <c r="T257" i="23"/>
  <c r="U257" i="23" s="1"/>
  <c r="T258" i="23"/>
  <c r="U258" i="23" s="1"/>
  <c r="T260" i="23"/>
  <c r="U260" i="23" s="1"/>
  <c r="T261" i="23"/>
  <c r="U261" i="23" s="1"/>
  <c r="T262" i="23"/>
  <c r="U262" i="23" s="1"/>
  <c r="T263" i="23"/>
  <c r="U263" i="23" s="1"/>
  <c r="T265" i="23"/>
  <c r="U265" i="23" s="1"/>
  <c r="T266" i="23"/>
  <c r="U266" i="23" s="1"/>
  <c r="T270" i="23"/>
  <c r="U270" i="23" s="1"/>
  <c r="T272" i="23"/>
  <c r="U272" i="23" s="1"/>
  <c r="T273" i="23"/>
  <c r="U273" i="23" s="1"/>
  <c r="T275" i="23"/>
  <c r="U275" i="23" s="1"/>
  <c r="T276" i="23"/>
  <c r="U276" i="23" s="1"/>
  <c r="T277" i="23"/>
  <c r="U277" i="23" s="1"/>
  <c r="T278" i="23"/>
  <c r="U278" i="23" s="1"/>
  <c r="T282" i="23"/>
  <c r="U282" i="23" s="1"/>
  <c r="T284" i="23"/>
  <c r="U284" i="23" s="1"/>
  <c r="T285" i="23"/>
  <c r="U285" i="23" s="1"/>
  <c r="T287" i="23"/>
  <c r="U287" i="23" s="1"/>
  <c r="T288" i="23"/>
  <c r="U288" i="23" s="1"/>
  <c r="T289" i="23"/>
  <c r="U289" i="23" s="1"/>
  <c r="T291" i="23"/>
  <c r="U291" i="23" s="1"/>
  <c r="T294" i="23"/>
  <c r="U294" i="23" s="1"/>
  <c r="T298" i="23"/>
  <c r="U298" i="23" s="1"/>
  <c r="T302" i="23"/>
  <c r="U302" i="23" s="1"/>
  <c r="T304" i="23"/>
  <c r="U304" i="23" s="1"/>
  <c r="T305" i="23"/>
  <c r="U305" i="23" s="1"/>
  <c r="T306" i="23"/>
  <c r="U306" i="23" s="1"/>
  <c r="T308" i="23"/>
  <c r="U308" i="23" s="1"/>
  <c r="T309" i="23"/>
  <c r="U309" i="23" s="1"/>
  <c r="T310" i="23"/>
  <c r="U310" i="23" s="1"/>
  <c r="T312" i="23"/>
  <c r="U312" i="23" s="1"/>
  <c r="T313" i="23"/>
  <c r="U313" i="23" s="1"/>
  <c r="T314" i="23"/>
  <c r="U314" i="23" s="1"/>
  <c r="T318" i="23"/>
  <c r="U318" i="23" s="1"/>
  <c r="T319" i="23"/>
  <c r="U319" i="23" s="1"/>
  <c r="T320" i="23"/>
  <c r="U320" i="23" s="1"/>
  <c r="T321" i="23"/>
  <c r="U321" i="23" s="1"/>
  <c r="T322" i="23"/>
  <c r="U322" i="23" s="1"/>
  <c r="T316" i="23"/>
  <c r="U316" i="23" s="1"/>
  <c r="T23" i="23"/>
  <c r="AB27" i="23"/>
  <c r="AC27" i="23" s="1"/>
  <c r="AB30" i="23"/>
  <c r="AC30" i="23" s="1"/>
  <c r="AB25" i="23"/>
  <c r="AC25" i="23" s="1"/>
  <c r="AB26" i="23"/>
  <c r="AC26" i="23" s="1"/>
  <c r="AB28" i="23"/>
  <c r="AC28" i="23" s="1"/>
  <c r="AB31" i="23"/>
  <c r="AC31" i="23" s="1"/>
  <c r="AB35" i="23"/>
  <c r="AC35" i="23" s="1"/>
  <c r="AB36" i="23"/>
  <c r="AC36" i="23" s="1"/>
  <c r="AB38" i="23"/>
  <c r="AC38" i="23" s="1"/>
  <c r="AB41" i="23"/>
  <c r="AC41" i="23" s="1"/>
  <c r="AB29" i="23"/>
  <c r="AC29" i="23" s="1"/>
  <c r="AB32" i="23"/>
  <c r="AC32" i="23" s="1"/>
  <c r="AB39" i="23"/>
  <c r="AC39" i="23" s="1"/>
  <c r="AB40" i="23"/>
  <c r="AC40" i="23" s="1"/>
  <c r="AB24" i="23"/>
  <c r="AC24" i="23" s="1"/>
  <c r="AB33" i="23"/>
  <c r="AC33" i="23" s="1"/>
  <c r="AB37" i="23"/>
  <c r="AC37" i="23" s="1"/>
  <c r="AB43" i="23"/>
  <c r="AC43" i="23" s="1"/>
  <c r="AB44" i="23"/>
  <c r="AC44" i="23" s="1"/>
  <c r="AB45" i="23"/>
  <c r="AC45" i="23" s="1"/>
  <c r="AB47" i="23"/>
  <c r="AC47" i="23" s="1"/>
  <c r="AB48" i="23"/>
  <c r="AC48" i="23" s="1"/>
  <c r="AB49" i="23"/>
  <c r="AC49" i="23" s="1"/>
  <c r="AB53" i="23"/>
  <c r="AC53" i="23" s="1"/>
  <c r="AB58" i="23"/>
  <c r="AC58" i="23" s="1"/>
  <c r="AB62" i="23"/>
  <c r="AC62" i="23" s="1"/>
  <c r="AB63" i="23"/>
  <c r="AC63" i="23" s="1"/>
  <c r="AB64" i="23"/>
  <c r="AC64" i="23" s="1"/>
  <c r="AB65" i="23"/>
  <c r="AC65" i="23" s="1"/>
  <c r="AB67" i="23"/>
  <c r="AC67" i="23" s="1"/>
  <c r="AB42" i="23"/>
  <c r="AC42" i="23" s="1"/>
  <c r="AB50" i="23"/>
  <c r="AC50" i="23" s="1"/>
  <c r="AB55" i="23"/>
  <c r="AC55" i="23" s="1"/>
  <c r="AB56" i="23"/>
  <c r="AC56" i="23" s="1"/>
  <c r="AB57" i="23"/>
  <c r="AC57" i="23" s="1"/>
  <c r="AB59" i="23"/>
  <c r="AC59" i="23" s="1"/>
  <c r="AB60" i="23"/>
  <c r="AC60" i="23" s="1"/>
  <c r="AB61" i="23"/>
  <c r="AC61" i="23" s="1"/>
  <c r="AB66" i="23"/>
  <c r="AC66" i="23" s="1"/>
  <c r="AB34" i="23"/>
  <c r="AC34" i="23" s="1"/>
  <c r="AB46" i="23"/>
  <c r="AC46" i="23" s="1"/>
  <c r="AB51" i="23"/>
  <c r="AC51" i="23" s="1"/>
  <c r="AB52" i="23"/>
  <c r="AC52" i="23" s="1"/>
  <c r="AB69" i="23"/>
  <c r="AC69" i="23" s="1"/>
  <c r="AB71" i="23"/>
  <c r="AC71" i="23" s="1"/>
  <c r="AB72" i="23"/>
  <c r="AC72" i="23" s="1"/>
  <c r="AB74" i="23"/>
  <c r="AC74" i="23" s="1"/>
  <c r="AB77" i="23"/>
  <c r="AC77" i="23" s="1"/>
  <c r="AB79" i="23"/>
  <c r="AC79" i="23" s="1"/>
  <c r="AB81" i="23"/>
  <c r="AC81" i="23" s="1"/>
  <c r="AB82" i="23"/>
  <c r="AC82" i="23" s="1"/>
  <c r="AB85" i="23"/>
  <c r="AC85" i="23" s="1"/>
  <c r="AB86" i="23"/>
  <c r="AC86" i="23" s="1"/>
  <c r="AB87" i="23"/>
  <c r="AC87" i="23" s="1"/>
  <c r="AB88" i="23"/>
  <c r="AC88" i="23" s="1"/>
  <c r="AB95" i="23"/>
  <c r="AC95" i="23" s="1"/>
  <c r="AB98" i="23"/>
  <c r="AC98" i="23" s="1"/>
  <c r="AB99" i="23"/>
  <c r="AC99" i="23" s="1"/>
  <c r="AB102" i="23"/>
  <c r="AC102" i="23" s="1"/>
  <c r="AB103" i="23"/>
  <c r="AC103" i="23" s="1"/>
  <c r="AB106" i="23"/>
  <c r="AC106" i="23" s="1"/>
  <c r="AB107" i="23"/>
  <c r="AC107" i="23" s="1"/>
  <c r="AB111" i="23"/>
  <c r="AC111" i="23" s="1"/>
  <c r="AB113" i="23"/>
  <c r="AC113" i="23" s="1"/>
  <c r="AB114" i="23"/>
  <c r="AC114" i="23" s="1"/>
  <c r="AB115" i="23"/>
  <c r="AC115" i="23" s="1"/>
  <c r="AB117" i="23"/>
  <c r="AC117" i="23" s="1"/>
  <c r="AB118" i="23"/>
  <c r="AC118" i="23" s="1"/>
  <c r="AB121" i="23"/>
  <c r="AC121" i="23" s="1"/>
  <c r="AB122" i="23"/>
  <c r="AC122" i="23" s="1"/>
  <c r="AB54" i="23"/>
  <c r="AC54" i="23" s="1"/>
  <c r="AB68" i="23"/>
  <c r="AC68" i="23" s="1"/>
  <c r="AB70" i="23"/>
  <c r="AC70" i="23" s="1"/>
  <c r="AB73" i="23"/>
  <c r="AC73" i="23" s="1"/>
  <c r="AB75" i="23"/>
  <c r="AC75" i="23" s="1"/>
  <c r="AB76" i="23"/>
  <c r="AC76" i="23" s="1"/>
  <c r="AB78" i="23"/>
  <c r="AC78" i="23" s="1"/>
  <c r="AB80" i="23"/>
  <c r="AC80" i="23" s="1"/>
  <c r="AB83" i="23"/>
  <c r="AC83" i="23" s="1"/>
  <c r="AB84" i="23"/>
  <c r="AC84" i="23" s="1"/>
  <c r="AB89" i="23"/>
  <c r="AC89" i="23" s="1"/>
  <c r="AB90" i="23"/>
  <c r="AC90" i="23" s="1"/>
  <c r="AB91" i="23"/>
  <c r="AC91" i="23" s="1"/>
  <c r="AB92" i="23"/>
  <c r="AC92" i="23" s="1"/>
  <c r="AB96" i="23"/>
  <c r="AC96" i="23" s="1"/>
  <c r="AB101" i="23"/>
  <c r="AC101" i="23" s="1"/>
  <c r="AB104" i="23"/>
  <c r="AC104" i="23" s="1"/>
  <c r="AB109" i="23"/>
  <c r="AC109" i="23" s="1"/>
  <c r="AB110" i="23"/>
  <c r="AC110" i="23" s="1"/>
  <c r="AB116" i="23"/>
  <c r="AC116" i="23" s="1"/>
  <c r="AB124" i="23"/>
  <c r="AC124" i="23" s="1"/>
  <c r="AB129" i="23"/>
  <c r="AC129" i="23" s="1"/>
  <c r="AB130" i="23"/>
  <c r="AC130" i="23" s="1"/>
  <c r="AB131" i="23"/>
  <c r="AC131" i="23" s="1"/>
  <c r="AB133" i="23"/>
  <c r="AC133" i="23" s="1"/>
  <c r="AB134" i="23"/>
  <c r="AC134" i="23" s="1"/>
  <c r="AB137" i="23"/>
  <c r="AC137" i="23" s="1"/>
  <c r="AB138" i="23"/>
  <c r="AC138" i="23" s="1"/>
  <c r="AB139" i="23"/>
  <c r="AC139" i="23" s="1"/>
  <c r="AB141" i="23"/>
  <c r="AC141" i="23" s="1"/>
  <c r="AB142" i="23"/>
  <c r="AC142" i="23" s="1"/>
  <c r="AB144" i="23"/>
  <c r="AC144" i="23" s="1"/>
  <c r="AB146" i="23"/>
  <c r="AC146" i="23" s="1"/>
  <c r="AB148" i="23"/>
  <c r="AC148" i="23" s="1"/>
  <c r="AB150" i="23"/>
  <c r="AC150" i="23" s="1"/>
  <c r="AB153" i="23"/>
  <c r="AC153" i="23" s="1"/>
  <c r="AB154" i="23"/>
  <c r="AC154" i="23" s="1"/>
  <c r="AB157" i="23"/>
  <c r="AC157" i="23" s="1"/>
  <c r="AB158" i="23"/>
  <c r="AC158" i="23" s="1"/>
  <c r="AB161" i="23"/>
  <c r="AC161" i="23" s="1"/>
  <c r="AB162" i="23"/>
  <c r="AC162" i="23" s="1"/>
  <c r="AB165" i="23"/>
  <c r="AC165" i="23" s="1"/>
  <c r="AB166" i="23"/>
  <c r="AC166" i="23" s="1"/>
  <c r="AB169" i="23"/>
  <c r="AC169" i="23" s="1"/>
  <c r="AB170" i="23"/>
  <c r="AC170" i="23" s="1"/>
  <c r="AB173" i="23"/>
  <c r="AC173" i="23" s="1"/>
  <c r="AB174" i="23"/>
  <c r="AC174" i="23" s="1"/>
  <c r="AB175" i="23"/>
  <c r="AC175" i="23" s="1"/>
  <c r="AB93" i="23"/>
  <c r="AC93" i="23" s="1"/>
  <c r="AB94" i="23"/>
  <c r="AC94" i="23" s="1"/>
  <c r="AB97" i="23"/>
  <c r="AC97" i="23" s="1"/>
  <c r="AB100" i="23"/>
  <c r="AC100" i="23" s="1"/>
  <c r="AB119" i="23"/>
  <c r="AC119" i="23" s="1"/>
  <c r="AB120" i="23"/>
  <c r="AC120" i="23" s="1"/>
  <c r="AB123" i="23"/>
  <c r="AC123" i="23" s="1"/>
  <c r="AB125" i="23"/>
  <c r="AC125" i="23" s="1"/>
  <c r="AB127" i="23"/>
  <c r="AC127" i="23" s="1"/>
  <c r="AB132" i="23"/>
  <c r="AC132" i="23" s="1"/>
  <c r="AB140" i="23"/>
  <c r="AC140" i="23" s="1"/>
  <c r="AB143" i="23"/>
  <c r="AC143" i="23" s="1"/>
  <c r="AB145" i="23"/>
  <c r="AC145" i="23" s="1"/>
  <c r="AB147" i="23"/>
  <c r="AC147" i="23" s="1"/>
  <c r="AB149" i="23"/>
  <c r="AC149" i="23" s="1"/>
  <c r="AB151" i="23"/>
  <c r="AC151" i="23" s="1"/>
  <c r="AB156" i="23"/>
  <c r="AC156" i="23" s="1"/>
  <c r="AB159" i="23"/>
  <c r="AC159" i="23" s="1"/>
  <c r="AB164" i="23"/>
  <c r="AC164" i="23" s="1"/>
  <c r="AB167" i="23"/>
  <c r="AC167" i="23" s="1"/>
  <c r="AB172" i="23"/>
  <c r="AC172" i="23" s="1"/>
  <c r="AB176" i="23"/>
  <c r="AC176" i="23" s="1"/>
  <c r="AB179" i="23"/>
  <c r="AC179" i="23" s="1"/>
  <c r="AB181" i="23"/>
  <c r="AC181" i="23" s="1"/>
  <c r="AB182" i="23"/>
  <c r="AC182" i="23" s="1"/>
  <c r="AB184" i="23"/>
  <c r="AC184" i="23" s="1"/>
  <c r="AB186" i="23"/>
  <c r="AC186" i="23" s="1"/>
  <c r="AB188" i="23"/>
  <c r="AC188" i="23" s="1"/>
  <c r="AB190" i="23"/>
  <c r="AC190" i="23" s="1"/>
  <c r="AB191" i="23"/>
  <c r="AC191" i="23" s="1"/>
  <c r="AB193" i="23"/>
  <c r="AC193" i="23" s="1"/>
  <c r="AB195" i="23"/>
  <c r="AC195" i="23" s="1"/>
  <c r="AB197" i="23"/>
  <c r="AC197" i="23" s="1"/>
  <c r="AB200" i="23"/>
  <c r="AC200" i="23" s="1"/>
  <c r="AB202" i="23"/>
  <c r="AC202" i="23" s="1"/>
  <c r="AB203" i="23"/>
  <c r="AC203" i="23" s="1"/>
  <c r="AB205" i="23"/>
  <c r="AC205" i="23" s="1"/>
  <c r="AB207" i="23"/>
  <c r="AC207" i="23" s="1"/>
  <c r="AB209" i="23"/>
  <c r="AC209" i="23" s="1"/>
  <c r="AB212" i="23"/>
  <c r="AC212" i="23" s="1"/>
  <c r="AB135" i="23"/>
  <c r="AC135" i="23" s="1"/>
  <c r="AB136" i="23"/>
  <c r="AC136" i="23" s="1"/>
  <c r="AB152" i="23"/>
  <c r="AC152" i="23" s="1"/>
  <c r="AB155" i="23"/>
  <c r="AC155" i="23" s="1"/>
  <c r="AB168" i="23"/>
  <c r="AC168" i="23" s="1"/>
  <c r="AB171" i="23"/>
  <c r="AC171" i="23" s="1"/>
  <c r="AB177" i="23"/>
  <c r="AC177" i="23" s="1"/>
  <c r="AB180" i="23"/>
  <c r="AC180" i="23" s="1"/>
  <c r="AB187" i="23"/>
  <c r="AC187" i="23" s="1"/>
  <c r="AB189" i="23"/>
  <c r="AC189" i="23" s="1"/>
  <c r="AB192" i="23"/>
  <c r="AC192" i="23" s="1"/>
  <c r="AB196" i="23"/>
  <c r="AC196" i="23" s="1"/>
  <c r="AB206" i="23"/>
  <c r="AC206" i="23" s="1"/>
  <c r="AB210" i="23"/>
  <c r="AC210" i="23" s="1"/>
  <c r="AB211" i="23"/>
  <c r="AC211" i="23" s="1"/>
  <c r="AB217" i="23"/>
  <c r="AC217" i="23" s="1"/>
  <c r="AB218" i="23"/>
  <c r="AC218" i="23" s="1"/>
  <c r="AB219" i="23"/>
  <c r="AC219" i="23" s="1"/>
  <c r="AB220" i="23"/>
  <c r="AC220" i="23" s="1"/>
  <c r="AB223" i="23"/>
  <c r="AC223" i="23" s="1"/>
  <c r="AB226" i="23"/>
  <c r="AC226" i="23" s="1"/>
  <c r="AB227" i="23"/>
  <c r="AC227" i="23" s="1"/>
  <c r="AB231" i="23"/>
  <c r="AC231" i="23" s="1"/>
  <c r="AB232" i="23"/>
  <c r="AC232" i="23" s="1"/>
  <c r="AB235" i="23"/>
  <c r="AC235" i="23" s="1"/>
  <c r="AB236" i="23"/>
  <c r="AC236" i="23" s="1"/>
  <c r="AB238" i="23"/>
  <c r="AC238" i="23" s="1"/>
  <c r="AB240" i="23"/>
  <c r="AC240" i="23" s="1"/>
  <c r="AB243" i="23"/>
  <c r="AC243" i="23" s="1"/>
  <c r="AB245" i="23"/>
  <c r="AC245" i="23" s="1"/>
  <c r="AB247" i="23"/>
  <c r="AC247" i="23" s="1"/>
  <c r="AB249" i="23"/>
  <c r="AC249" i="23" s="1"/>
  <c r="AB250" i="23"/>
  <c r="AC250" i="23" s="1"/>
  <c r="AB252" i="23"/>
  <c r="AC252" i="23" s="1"/>
  <c r="AB255" i="23"/>
  <c r="AC255" i="23" s="1"/>
  <c r="AB259" i="23"/>
  <c r="AC259" i="23" s="1"/>
  <c r="AB262" i="23"/>
  <c r="AC262" i="23" s="1"/>
  <c r="AB264" i="23"/>
  <c r="AC264" i="23" s="1"/>
  <c r="AB267" i="23"/>
  <c r="AC267" i="23" s="1"/>
  <c r="AB268" i="23"/>
  <c r="AC268" i="23" s="1"/>
  <c r="AB269" i="23"/>
  <c r="AC269" i="23" s="1"/>
  <c r="AB271" i="23"/>
  <c r="AC271" i="23" s="1"/>
  <c r="AB274" i="23"/>
  <c r="AC274" i="23" s="1"/>
  <c r="AB277" i="23"/>
  <c r="AC277" i="23" s="1"/>
  <c r="AB279" i="23"/>
  <c r="AC279" i="23" s="1"/>
  <c r="AB280" i="23"/>
  <c r="AC280" i="23" s="1"/>
  <c r="AB281" i="23"/>
  <c r="AC281" i="23" s="1"/>
  <c r="AB283" i="23"/>
  <c r="AC283" i="23" s="1"/>
  <c r="AB286" i="23"/>
  <c r="AC286" i="23" s="1"/>
  <c r="AB290" i="23"/>
  <c r="AC290" i="23" s="1"/>
  <c r="AB292" i="23"/>
  <c r="AC292" i="23" s="1"/>
  <c r="AB293" i="23"/>
  <c r="AC293" i="23" s="1"/>
  <c r="AB296" i="23"/>
  <c r="AC296" i="23" s="1"/>
  <c r="AB297" i="23"/>
  <c r="AC297" i="23" s="1"/>
  <c r="AB299" i="23"/>
  <c r="AC299" i="23" s="1"/>
  <c r="AB300" i="23"/>
  <c r="AC300" i="23" s="1"/>
  <c r="AB301" i="23"/>
  <c r="AC301" i="23" s="1"/>
  <c r="AB303" i="23"/>
  <c r="AC303" i="23" s="1"/>
  <c r="AB305" i="23"/>
  <c r="AC305" i="23" s="1"/>
  <c r="AB307" i="23"/>
  <c r="AC307" i="23" s="1"/>
  <c r="AB309" i="23"/>
  <c r="AC309" i="23" s="1"/>
  <c r="AB311" i="23"/>
  <c r="AC311" i="23" s="1"/>
  <c r="AB313" i="23"/>
  <c r="AC313" i="23" s="1"/>
  <c r="AB315" i="23"/>
  <c r="AC315" i="23" s="1"/>
  <c r="AB316" i="23"/>
  <c r="AC316" i="23" s="1"/>
  <c r="AB317" i="23"/>
  <c r="AC317" i="23" s="1"/>
  <c r="AB105" i="23"/>
  <c r="AC105" i="23" s="1"/>
  <c r="AB108" i="23"/>
  <c r="AC108" i="23" s="1"/>
  <c r="AB112" i="23"/>
  <c r="AC112" i="23" s="1"/>
  <c r="AB126" i="23"/>
  <c r="AC126" i="23" s="1"/>
  <c r="AB128" i="23"/>
  <c r="AC128" i="23" s="1"/>
  <c r="AB160" i="23"/>
  <c r="AC160" i="23" s="1"/>
  <c r="AB163" i="23"/>
  <c r="AC163" i="23" s="1"/>
  <c r="AB178" i="23"/>
  <c r="AC178" i="23" s="1"/>
  <c r="AB183" i="23"/>
  <c r="AC183" i="23" s="1"/>
  <c r="AB185" i="23"/>
  <c r="AC185" i="23" s="1"/>
  <c r="AB194" i="23"/>
  <c r="AC194" i="23" s="1"/>
  <c r="AB198" i="23"/>
  <c r="AC198" i="23" s="1"/>
  <c r="AB199" i="23"/>
  <c r="AC199" i="23" s="1"/>
  <c r="AB201" i="23"/>
  <c r="AC201" i="23" s="1"/>
  <c r="AB204" i="23"/>
  <c r="AC204" i="23" s="1"/>
  <c r="AB208" i="23"/>
  <c r="AC208" i="23" s="1"/>
  <c r="AB213" i="23"/>
  <c r="AC213" i="23" s="1"/>
  <c r="AB214" i="23"/>
  <c r="AC214" i="23" s="1"/>
  <c r="AB215" i="23"/>
  <c r="AC215" i="23" s="1"/>
  <c r="AB216" i="23"/>
  <c r="AC216" i="23" s="1"/>
  <c r="AB221" i="23"/>
  <c r="AC221" i="23" s="1"/>
  <c r="AB222" i="23"/>
  <c r="AC222" i="23" s="1"/>
  <c r="AB224" i="23"/>
  <c r="AC224" i="23" s="1"/>
  <c r="AB225" i="23"/>
  <c r="AC225" i="23" s="1"/>
  <c r="AB228" i="23"/>
  <c r="AC228" i="23" s="1"/>
  <c r="AB229" i="23"/>
  <c r="AC229" i="23" s="1"/>
  <c r="AB230" i="23"/>
  <c r="AC230" i="23" s="1"/>
  <c r="AB233" i="23"/>
  <c r="AC233" i="23" s="1"/>
  <c r="AB234" i="23"/>
  <c r="AC234" i="23" s="1"/>
  <c r="AB237" i="23"/>
  <c r="AC237" i="23" s="1"/>
  <c r="AB239" i="23"/>
  <c r="AC239" i="23" s="1"/>
  <c r="AB241" i="23"/>
  <c r="AC241" i="23" s="1"/>
  <c r="AB242" i="23"/>
  <c r="AC242" i="23" s="1"/>
  <c r="AB244" i="23"/>
  <c r="AC244" i="23" s="1"/>
  <c r="AB246" i="23"/>
  <c r="AC246" i="23" s="1"/>
  <c r="AB248" i="23"/>
  <c r="AC248" i="23" s="1"/>
  <c r="AB251" i="23"/>
  <c r="AC251" i="23" s="1"/>
  <c r="AB253" i="23"/>
  <c r="AC253" i="23" s="1"/>
  <c r="AB254" i="23"/>
  <c r="AC254" i="23" s="1"/>
  <c r="AB256" i="23"/>
  <c r="AC256" i="23" s="1"/>
  <c r="AB257" i="23"/>
  <c r="AC257" i="23" s="1"/>
  <c r="AB258" i="23"/>
  <c r="AC258" i="23" s="1"/>
  <c r="AB260" i="23"/>
  <c r="AC260" i="23" s="1"/>
  <c r="AB261" i="23"/>
  <c r="AC261" i="23" s="1"/>
  <c r="AB263" i="23"/>
  <c r="AC263" i="23" s="1"/>
  <c r="AB265" i="23"/>
  <c r="AC265" i="23" s="1"/>
  <c r="AB266" i="23"/>
  <c r="AC266" i="23" s="1"/>
  <c r="AB270" i="23"/>
  <c r="AC270" i="23" s="1"/>
  <c r="AB272" i="23"/>
  <c r="AC272" i="23" s="1"/>
  <c r="AB273" i="23"/>
  <c r="AC273" i="23" s="1"/>
  <c r="AB275" i="23"/>
  <c r="AC275" i="23" s="1"/>
  <c r="AB276" i="23"/>
  <c r="AC276" i="23" s="1"/>
  <c r="AB278" i="23"/>
  <c r="AC278" i="23" s="1"/>
  <c r="AB282" i="23"/>
  <c r="AC282" i="23" s="1"/>
  <c r="AB284" i="23"/>
  <c r="AC284" i="23" s="1"/>
  <c r="AB285" i="23"/>
  <c r="AC285" i="23" s="1"/>
  <c r="AB287" i="23"/>
  <c r="AC287" i="23" s="1"/>
  <c r="AB288" i="23"/>
  <c r="AC288" i="23" s="1"/>
  <c r="AB289" i="23"/>
  <c r="AC289" i="23" s="1"/>
  <c r="AB291" i="23"/>
  <c r="AC291" i="23" s="1"/>
  <c r="AB294" i="23"/>
  <c r="AC294" i="23" s="1"/>
  <c r="AB295" i="23"/>
  <c r="AC295" i="23" s="1"/>
  <c r="AB298" i="23"/>
  <c r="AC298" i="23" s="1"/>
  <c r="AB302" i="23"/>
  <c r="AC302" i="23" s="1"/>
  <c r="AB304" i="23"/>
  <c r="AC304" i="23" s="1"/>
  <c r="AB306" i="23"/>
  <c r="AC306" i="23" s="1"/>
  <c r="AB308" i="23"/>
  <c r="AC308" i="23" s="1"/>
  <c r="AB310" i="23"/>
  <c r="AC310" i="23" s="1"/>
  <c r="AB312" i="23"/>
  <c r="AC312" i="23" s="1"/>
  <c r="AB314" i="23"/>
  <c r="AC314" i="23" s="1"/>
  <c r="AB318" i="23"/>
  <c r="AC318" i="23" s="1"/>
  <c r="AB319" i="23"/>
  <c r="AC319" i="23" s="1"/>
  <c r="AB320" i="23"/>
  <c r="AC320" i="23" s="1"/>
  <c r="AB322" i="23"/>
  <c r="AC322" i="23" s="1"/>
  <c r="AB321" i="23"/>
  <c r="AC321" i="23" s="1"/>
  <c r="AB23" i="23"/>
  <c r="K13" i="24"/>
  <c r="K12" i="24"/>
  <c r="X24" i="23"/>
  <c r="Y24" i="23" s="1"/>
  <c r="X26" i="23"/>
  <c r="Y26" i="23" s="1"/>
  <c r="X27" i="23"/>
  <c r="Y27" i="23" s="1"/>
  <c r="X28" i="23"/>
  <c r="Y28" i="23" s="1"/>
  <c r="X25" i="23"/>
  <c r="Y25" i="23" s="1"/>
  <c r="X31" i="23"/>
  <c r="Y31" i="23" s="1"/>
  <c r="X32" i="23"/>
  <c r="Y32" i="23" s="1"/>
  <c r="X35" i="23"/>
  <c r="Y35" i="23" s="1"/>
  <c r="X38" i="23"/>
  <c r="Y38" i="23" s="1"/>
  <c r="X40" i="23"/>
  <c r="Y40" i="23" s="1"/>
  <c r="X41" i="23"/>
  <c r="Y41" i="23" s="1"/>
  <c r="X30" i="23"/>
  <c r="Y30" i="23" s="1"/>
  <c r="X34" i="23"/>
  <c r="Y34" i="23" s="1"/>
  <c r="X36" i="23"/>
  <c r="Y36" i="23" s="1"/>
  <c r="X39" i="23"/>
  <c r="Y39" i="23" s="1"/>
  <c r="X42" i="23"/>
  <c r="Y42" i="23" s="1"/>
  <c r="X43" i="23"/>
  <c r="Y43" i="23" s="1"/>
  <c r="X45" i="23"/>
  <c r="Y45" i="23" s="1"/>
  <c r="X46" i="23"/>
  <c r="Y46" i="23" s="1"/>
  <c r="X47" i="23"/>
  <c r="Y47" i="23" s="1"/>
  <c r="X49" i="23"/>
  <c r="Y49" i="23" s="1"/>
  <c r="X50" i="23"/>
  <c r="Y50" i="23" s="1"/>
  <c r="X52" i="23"/>
  <c r="Y52" i="23" s="1"/>
  <c r="X53" i="23"/>
  <c r="Y53" i="23" s="1"/>
  <c r="X54" i="23"/>
  <c r="Y54" i="23" s="1"/>
  <c r="X56" i="23"/>
  <c r="Y56" i="23" s="1"/>
  <c r="X60" i="23"/>
  <c r="Y60" i="23" s="1"/>
  <c r="X63" i="23"/>
  <c r="Y63" i="23" s="1"/>
  <c r="X65" i="23"/>
  <c r="Y65" i="23" s="1"/>
  <c r="X66" i="23"/>
  <c r="Y66" i="23" s="1"/>
  <c r="X67" i="23"/>
  <c r="Y67" i="23" s="1"/>
  <c r="X29" i="23"/>
  <c r="Y29" i="23" s="1"/>
  <c r="X37" i="23"/>
  <c r="Y37" i="23" s="1"/>
  <c r="X44" i="23"/>
  <c r="Y44" i="23" s="1"/>
  <c r="X55" i="23"/>
  <c r="Y55" i="23" s="1"/>
  <c r="X57" i="23"/>
  <c r="Y57" i="23" s="1"/>
  <c r="X59" i="23"/>
  <c r="Y59" i="23" s="1"/>
  <c r="X61" i="23"/>
  <c r="Y61" i="23" s="1"/>
  <c r="X64" i="23"/>
  <c r="Y64" i="23" s="1"/>
  <c r="X33" i="23"/>
  <c r="Y33" i="23" s="1"/>
  <c r="X48" i="23"/>
  <c r="Y48" i="23" s="1"/>
  <c r="X58" i="23"/>
  <c r="Y58" i="23" s="1"/>
  <c r="X62" i="23"/>
  <c r="Y62" i="23" s="1"/>
  <c r="X68" i="23"/>
  <c r="Y68" i="23" s="1"/>
  <c r="X69" i="23"/>
  <c r="Y69" i="23" s="1"/>
  <c r="X70" i="23"/>
  <c r="Y70" i="23" s="1"/>
  <c r="X71" i="23"/>
  <c r="Y71" i="23" s="1"/>
  <c r="X76" i="23"/>
  <c r="Y76" i="23" s="1"/>
  <c r="X77" i="23"/>
  <c r="Y77" i="23" s="1"/>
  <c r="X79" i="23"/>
  <c r="Y79" i="23" s="1"/>
  <c r="X81" i="23"/>
  <c r="Y81" i="23" s="1"/>
  <c r="X82" i="23"/>
  <c r="Y82" i="23" s="1"/>
  <c r="X85" i="23"/>
  <c r="Y85" i="23" s="1"/>
  <c r="X86" i="23"/>
  <c r="Y86" i="23" s="1"/>
  <c r="X87" i="23"/>
  <c r="Y87" i="23" s="1"/>
  <c r="X88" i="23"/>
  <c r="Y88" i="23" s="1"/>
  <c r="X96" i="23"/>
  <c r="Y96" i="23" s="1"/>
  <c r="X97" i="23"/>
  <c r="Y97" i="23" s="1"/>
  <c r="X100" i="23"/>
  <c r="Y100" i="23" s="1"/>
  <c r="X101" i="23"/>
  <c r="Y101" i="23" s="1"/>
  <c r="X104" i="23"/>
  <c r="Y104" i="23" s="1"/>
  <c r="X105" i="23"/>
  <c r="Y105" i="23" s="1"/>
  <c r="X108" i="23"/>
  <c r="Y108" i="23" s="1"/>
  <c r="X109" i="23"/>
  <c r="Y109" i="23" s="1"/>
  <c r="X110" i="23"/>
  <c r="Y110" i="23" s="1"/>
  <c r="X113" i="23"/>
  <c r="Y113" i="23" s="1"/>
  <c r="X114" i="23"/>
  <c r="Y114" i="23" s="1"/>
  <c r="X115" i="23"/>
  <c r="Y115" i="23" s="1"/>
  <c r="X117" i="23"/>
  <c r="Y117" i="23" s="1"/>
  <c r="X118" i="23"/>
  <c r="Y118" i="23" s="1"/>
  <c r="X121" i="23"/>
  <c r="Y121" i="23" s="1"/>
  <c r="X122" i="23"/>
  <c r="Y122" i="23" s="1"/>
  <c r="X51" i="23"/>
  <c r="Y51" i="23" s="1"/>
  <c r="X72" i="23"/>
  <c r="Y72" i="23" s="1"/>
  <c r="X73" i="23"/>
  <c r="Y73" i="23" s="1"/>
  <c r="X74" i="23"/>
  <c r="Y74" i="23" s="1"/>
  <c r="X75" i="23"/>
  <c r="Y75" i="23" s="1"/>
  <c r="X78" i="23"/>
  <c r="Y78" i="23" s="1"/>
  <c r="X80" i="23"/>
  <c r="Y80" i="23" s="1"/>
  <c r="X83" i="23"/>
  <c r="Y83" i="23" s="1"/>
  <c r="X84" i="23"/>
  <c r="Y84" i="23" s="1"/>
  <c r="X89" i="23"/>
  <c r="Y89" i="23" s="1"/>
  <c r="X90" i="23"/>
  <c r="Y90" i="23" s="1"/>
  <c r="X91" i="23"/>
  <c r="Y91" i="23" s="1"/>
  <c r="X94" i="23"/>
  <c r="Y94" i="23" s="1"/>
  <c r="X98" i="23"/>
  <c r="Y98" i="23" s="1"/>
  <c r="X99" i="23"/>
  <c r="Y99" i="23" s="1"/>
  <c r="X106" i="23"/>
  <c r="Y106" i="23" s="1"/>
  <c r="X107" i="23"/>
  <c r="Y107" i="23" s="1"/>
  <c r="X111" i="23"/>
  <c r="Y111" i="23" s="1"/>
  <c r="X112" i="23"/>
  <c r="Y112" i="23" s="1"/>
  <c r="X120" i="23"/>
  <c r="Y120" i="23" s="1"/>
  <c r="X124" i="23"/>
  <c r="Y124" i="23" s="1"/>
  <c r="X129" i="23"/>
  <c r="Y129" i="23" s="1"/>
  <c r="X130" i="23"/>
  <c r="Y130" i="23" s="1"/>
  <c r="X131" i="23"/>
  <c r="Y131" i="23" s="1"/>
  <c r="X133" i="23"/>
  <c r="Y133" i="23" s="1"/>
  <c r="X134" i="23"/>
  <c r="Y134" i="23" s="1"/>
  <c r="X137" i="23"/>
  <c r="Y137" i="23" s="1"/>
  <c r="X138" i="23"/>
  <c r="Y138" i="23" s="1"/>
  <c r="X139" i="23"/>
  <c r="Y139" i="23" s="1"/>
  <c r="X141" i="23"/>
  <c r="Y141" i="23" s="1"/>
  <c r="X142" i="23"/>
  <c r="Y142" i="23" s="1"/>
  <c r="X144" i="23"/>
  <c r="Y144" i="23" s="1"/>
  <c r="X146" i="23"/>
  <c r="Y146" i="23" s="1"/>
  <c r="X149" i="23"/>
  <c r="Y149" i="23" s="1"/>
  <c r="X150" i="23"/>
  <c r="Y150" i="23" s="1"/>
  <c r="X153" i="23"/>
  <c r="Y153" i="23" s="1"/>
  <c r="X154" i="23"/>
  <c r="Y154" i="23" s="1"/>
  <c r="X157" i="23"/>
  <c r="Y157" i="23" s="1"/>
  <c r="X158" i="23"/>
  <c r="Y158" i="23" s="1"/>
  <c r="X161" i="23"/>
  <c r="Y161" i="23" s="1"/>
  <c r="X162" i="23"/>
  <c r="Y162" i="23" s="1"/>
  <c r="X165" i="23"/>
  <c r="Y165" i="23" s="1"/>
  <c r="X166" i="23"/>
  <c r="Y166" i="23" s="1"/>
  <c r="X169" i="23"/>
  <c r="Y169" i="23" s="1"/>
  <c r="X170" i="23"/>
  <c r="Y170" i="23" s="1"/>
  <c r="X173" i="23"/>
  <c r="Y173" i="23" s="1"/>
  <c r="X174" i="23"/>
  <c r="Y174" i="23" s="1"/>
  <c r="X175" i="23"/>
  <c r="Y175" i="23" s="1"/>
  <c r="X95" i="23"/>
  <c r="Y95" i="23" s="1"/>
  <c r="X123" i="23"/>
  <c r="Y123" i="23" s="1"/>
  <c r="X125" i="23"/>
  <c r="Y125" i="23" s="1"/>
  <c r="X126" i="23"/>
  <c r="Y126" i="23" s="1"/>
  <c r="X127" i="23"/>
  <c r="Y127" i="23" s="1"/>
  <c r="X128" i="23"/>
  <c r="Y128" i="23" s="1"/>
  <c r="X136" i="23"/>
  <c r="Y136" i="23" s="1"/>
  <c r="X143" i="23"/>
  <c r="Y143" i="23" s="1"/>
  <c r="X145" i="23"/>
  <c r="Y145" i="23" s="1"/>
  <c r="X147" i="23"/>
  <c r="Y147" i="23" s="1"/>
  <c r="X151" i="23"/>
  <c r="Y151" i="23" s="1"/>
  <c r="X152" i="23"/>
  <c r="Y152" i="23" s="1"/>
  <c r="X159" i="23"/>
  <c r="Y159" i="23" s="1"/>
  <c r="X160" i="23"/>
  <c r="Y160" i="23" s="1"/>
  <c r="X167" i="23"/>
  <c r="Y167" i="23" s="1"/>
  <c r="X168" i="23"/>
  <c r="Y168" i="23" s="1"/>
  <c r="X176" i="23"/>
  <c r="Y176" i="23" s="1"/>
  <c r="X179" i="23"/>
  <c r="Y179" i="23" s="1"/>
  <c r="X181" i="23"/>
  <c r="Y181" i="23" s="1"/>
  <c r="X182" i="23"/>
  <c r="Y182" i="23" s="1"/>
  <c r="X183" i="23"/>
  <c r="Y183" i="23" s="1"/>
  <c r="X184" i="23"/>
  <c r="Y184" i="23" s="1"/>
  <c r="X185" i="23"/>
  <c r="Y185" i="23" s="1"/>
  <c r="X186" i="23"/>
  <c r="Y186" i="23" s="1"/>
  <c r="X187" i="23"/>
  <c r="Y187" i="23" s="1"/>
  <c r="X188" i="23"/>
  <c r="Y188" i="23" s="1"/>
  <c r="X189" i="23"/>
  <c r="Y189" i="23" s="1"/>
  <c r="X190" i="23"/>
  <c r="Y190" i="23" s="1"/>
  <c r="X199" i="23"/>
  <c r="Y199" i="23" s="1"/>
  <c r="X200" i="23"/>
  <c r="Y200" i="23" s="1"/>
  <c r="X201" i="23"/>
  <c r="Y201" i="23" s="1"/>
  <c r="X202" i="23"/>
  <c r="Y202" i="23" s="1"/>
  <c r="X204" i="23"/>
  <c r="Y204" i="23" s="1"/>
  <c r="X208" i="23"/>
  <c r="Y208" i="23" s="1"/>
  <c r="X92" i="23"/>
  <c r="Y92" i="23" s="1"/>
  <c r="X93" i="23"/>
  <c r="Y93" i="23" s="1"/>
  <c r="X103" i="23"/>
  <c r="Y103" i="23" s="1"/>
  <c r="X119" i="23"/>
  <c r="Y119" i="23" s="1"/>
  <c r="X140" i="23"/>
  <c r="Y140" i="23" s="1"/>
  <c r="X148" i="23"/>
  <c r="Y148" i="23" s="1"/>
  <c r="X163" i="23"/>
  <c r="Y163" i="23" s="1"/>
  <c r="X164" i="23"/>
  <c r="Y164" i="23" s="1"/>
  <c r="X177" i="23"/>
  <c r="Y177" i="23" s="1"/>
  <c r="X178" i="23"/>
  <c r="Y178" i="23" s="1"/>
  <c r="X191" i="23"/>
  <c r="Y191" i="23" s="1"/>
  <c r="X193" i="23"/>
  <c r="Y193" i="23" s="1"/>
  <c r="X194" i="23"/>
  <c r="Y194" i="23" s="1"/>
  <c r="X195" i="23"/>
  <c r="Y195" i="23" s="1"/>
  <c r="X197" i="23"/>
  <c r="Y197" i="23" s="1"/>
  <c r="X198" i="23"/>
  <c r="Y198" i="23" s="1"/>
  <c r="X203" i="23"/>
  <c r="Y203" i="23" s="1"/>
  <c r="X205" i="23"/>
  <c r="Y205" i="23" s="1"/>
  <c r="X207" i="23"/>
  <c r="Y207" i="23" s="1"/>
  <c r="X209" i="23"/>
  <c r="Y209" i="23" s="1"/>
  <c r="X211" i="23"/>
  <c r="Y211" i="23" s="1"/>
  <c r="X213" i="23"/>
  <c r="Y213" i="23" s="1"/>
  <c r="X214" i="23"/>
  <c r="Y214" i="23" s="1"/>
  <c r="X215" i="23"/>
  <c r="Y215" i="23" s="1"/>
  <c r="X216" i="23"/>
  <c r="Y216" i="23" s="1"/>
  <c r="X221" i="23"/>
  <c r="Y221" i="23" s="1"/>
  <c r="X222" i="23"/>
  <c r="Y222" i="23" s="1"/>
  <c r="X225" i="23"/>
  <c r="Y225" i="23" s="1"/>
  <c r="X227" i="23"/>
  <c r="Y227" i="23" s="1"/>
  <c r="X228" i="23"/>
  <c r="Y228" i="23" s="1"/>
  <c r="X229" i="23"/>
  <c r="Y229" i="23" s="1"/>
  <c r="X230" i="23"/>
  <c r="Y230" i="23" s="1"/>
  <c r="X232" i="23"/>
  <c r="Y232" i="23" s="1"/>
  <c r="X233" i="23"/>
  <c r="Y233" i="23" s="1"/>
  <c r="X234" i="23"/>
  <c r="Y234" i="23" s="1"/>
  <c r="X236" i="23"/>
  <c r="Y236" i="23" s="1"/>
  <c r="X237" i="23"/>
  <c r="Y237" i="23" s="1"/>
  <c r="X238" i="23"/>
  <c r="Y238" i="23" s="1"/>
  <c r="X239" i="23"/>
  <c r="Y239" i="23" s="1"/>
  <c r="X241" i="23"/>
  <c r="Y241" i="23" s="1"/>
  <c r="X244" i="23"/>
  <c r="Y244" i="23" s="1"/>
  <c r="X248" i="23"/>
  <c r="Y248" i="23" s="1"/>
  <c r="X251" i="23"/>
  <c r="Y251" i="23" s="1"/>
  <c r="X253" i="23"/>
  <c r="Y253" i="23" s="1"/>
  <c r="X256" i="23"/>
  <c r="Y256" i="23" s="1"/>
  <c r="X257" i="23"/>
  <c r="Y257" i="23" s="1"/>
  <c r="X260" i="23"/>
  <c r="Y260" i="23" s="1"/>
  <c r="X261" i="23"/>
  <c r="Y261" i="23" s="1"/>
  <c r="X262" i="23"/>
  <c r="Y262" i="23" s="1"/>
  <c r="X263" i="23"/>
  <c r="Y263" i="23" s="1"/>
  <c r="X265" i="23"/>
  <c r="Y265" i="23" s="1"/>
  <c r="X266" i="23"/>
  <c r="Y266" i="23" s="1"/>
  <c r="X270" i="23"/>
  <c r="Y270" i="23" s="1"/>
  <c r="X272" i="23"/>
  <c r="Y272" i="23" s="1"/>
  <c r="X273" i="23"/>
  <c r="Y273" i="23" s="1"/>
  <c r="X275" i="23"/>
  <c r="Y275" i="23" s="1"/>
  <c r="X276" i="23"/>
  <c r="Y276" i="23" s="1"/>
  <c r="X277" i="23"/>
  <c r="Y277" i="23" s="1"/>
  <c r="X278" i="23"/>
  <c r="Y278" i="23" s="1"/>
  <c r="X281" i="23"/>
  <c r="Y281" i="23" s="1"/>
  <c r="X282" i="23"/>
  <c r="Y282" i="23" s="1"/>
  <c r="X284" i="23"/>
  <c r="Y284" i="23" s="1"/>
  <c r="X287" i="23"/>
  <c r="Y287" i="23" s="1"/>
  <c r="X288" i="23"/>
  <c r="Y288" i="23" s="1"/>
  <c r="X291" i="23"/>
  <c r="Y291" i="23" s="1"/>
  <c r="X293" i="23"/>
  <c r="Y293" i="23" s="1"/>
  <c r="X294" i="23"/>
  <c r="Y294" i="23" s="1"/>
  <c r="X297" i="23"/>
  <c r="Y297" i="23" s="1"/>
  <c r="X298" i="23"/>
  <c r="Y298" i="23" s="1"/>
  <c r="X301" i="23"/>
  <c r="Y301" i="23" s="1"/>
  <c r="X302" i="23"/>
  <c r="Y302" i="23" s="1"/>
  <c r="X304" i="23"/>
  <c r="Y304" i="23" s="1"/>
  <c r="X305" i="23"/>
  <c r="Y305" i="23" s="1"/>
  <c r="X306" i="23"/>
  <c r="Y306" i="23" s="1"/>
  <c r="X308" i="23"/>
  <c r="Y308" i="23" s="1"/>
  <c r="X309" i="23"/>
  <c r="Y309" i="23" s="1"/>
  <c r="X310" i="23"/>
  <c r="Y310" i="23" s="1"/>
  <c r="X312" i="23"/>
  <c r="Y312" i="23" s="1"/>
  <c r="X313" i="23"/>
  <c r="Y313" i="23" s="1"/>
  <c r="X314" i="23"/>
  <c r="Y314" i="23" s="1"/>
  <c r="X102" i="23"/>
  <c r="Y102" i="23" s="1"/>
  <c r="X116" i="23"/>
  <c r="Y116" i="23" s="1"/>
  <c r="X132" i="23"/>
  <c r="Y132" i="23" s="1"/>
  <c r="X135" i="23"/>
  <c r="Y135" i="23" s="1"/>
  <c r="X155" i="23"/>
  <c r="Y155" i="23" s="1"/>
  <c r="X156" i="23"/>
  <c r="Y156" i="23" s="1"/>
  <c r="X171" i="23"/>
  <c r="Y171" i="23" s="1"/>
  <c r="X172" i="23"/>
  <c r="Y172" i="23" s="1"/>
  <c r="X180" i="23"/>
  <c r="Y180" i="23" s="1"/>
  <c r="X192" i="23"/>
  <c r="Y192" i="23" s="1"/>
  <c r="X196" i="23"/>
  <c r="Y196" i="23" s="1"/>
  <c r="X206" i="23"/>
  <c r="Y206" i="23" s="1"/>
  <c r="X210" i="23"/>
  <c r="Y210" i="23" s="1"/>
  <c r="X212" i="23"/>
  <c r="Y212" i="23" s="1"/>
  <c r="X217" i="23"/>
  <c r="Y217" i="23" s="1"/>
  <c r="X218" i="23"/>
  <c r="Y218" i="23" s="1"/>
  <c r="X219" i="23"/>
  <c r="Y219" i="23" s="1"/>
  <c r="X220" i="23"/>
  <c r="Y220" i="23" s="1"/>
  <c r="X223" i="23"/>
  <c r="Y223" i="23" s="1"/>
  <c r="X224" i="23"/>
  <c r="Y224" i="23" s="1"/>
  <c r="X226" i="23"/>
  <c r="Y226" i="23" s="1"/>
  <c r="X231" i="23"/>
  <c r="Y231" i="23" s="1"/>
  <c r="X235" i="23"/>
  <c r="Y235" i="23" s="1"/>
  <c r="X240" i="23"/>
  <c r="Y240" i="23" s="1"/>
  <c r="X242" i="23"/>
  <c r="Y242" i="23" s="1"/>
  <c r="X243" i="23"/>
  <c r="Y243" i="23" s="1"/>
  <c r="X245" i="23"/>
  <c r="Y245" i="23" s="1"/>
  <c r="X246" i="23"/>
  <c r="Y246" i="23" s="1"/>
  <c r="X247" i="23"/>
  <c r="Y247" i="23" s="1"/>
  <c r="X249" i="23"/>
  <c r="Y249" i="23" s="1"/>
  <c r="X250" i="23"/>
  <c r="Y250" i="23" s="1"/>
  <c r="X252" i="23"/>
  <c r="Y252" i="23" s="1"/>
  <c r="X254" i="23"/>
  <c r="Y254" i="23" s="1"/>
  <c r="X255" i="23"/>
  <c r="Y255" i="23" s="1"/>
  <c r="X258" i="23"/>
  <c r="Y258" i="23" s="1"/>
  <c r="X259" i="23"/>
  <c r="Y259" i="23" s="1"/>
  <c r="X264" i="23"/>
  <c r="Y264" i="23" s="1"/>
  <c r="X267" i="23"/>
  <c r="Y267" i="23" s="1"/>
  <c r="X268" i="23"/>
  <c r="Y268" i="23" s="1"/>
  <c r="X269" i="23"/>
  <c r="Y269" i="23" s="1"/>
  <c r="X271" i="23"/>
  <c r="Y271" i="23" s="1"/>
  <c r="X274" i="23"/>
  <c r="Y274" i="23" s="1"/>
  <c r="X279" i="23"/>
  <c r="Y279" i="23" s="1"/>
  <c r="X280" i="23"/>
  <c r="Y280" i="23" s="1"/>
  <c r="X283" i="23"/>
  <c r="Y283" i="23" s="1"/>
  <c r="X285" i="23"/>
  <c r="Y285" i="23" s="1"/>
  <c r="X286" i="23"/>
  <c r="Y286" i="23" s="1"/>
  <c r="X289" i="23"/>
  <c r="Y289" i="23" s="1"/>
  <c r="X290" i="23"/>
  <c r="Y290" i="23" s="1"/>
  <c r="X292" i="23"/>
  <c r="Y292" i="23" s="1"/>
  <c r="X295" i="23"/>
  <c r="Y295" i="23" s="1"/>
  <c r="X296" i="23"/>
  <c r="Y296" i="23" s="1"/>
  <c r="X299" i="23"/>
  <c r="Y299" i="23" s="1"/>
  <c r="X300" i="23"/>
  <c r="Y300" i="23" s="1"/>
  <c r="X303" i="23"/>
  <c r="Y303" i="23" s="1"/>
  <c r="X307" i="23"/>
  <c r="Y307" i="23" s="1"/>
  <c r="X311" i="23"/>
  <c r="Y311" i="23" s="1"/>
  <c r="X315" i="23"/>
  <c r="Y315" i="23" s="1"/>
  <c r="X316" i="23"/>
  <c r="Y316" i="23" s="1"/>
  <c r="X317" i="23"/>
  <c r="Y317" i="23" s="1"/>
  <c r="X319" i="23"/>
  <c r="Y319" i="23" s="1"/>
  <c r="X321" i="23"/>
  <c r="Y321" i="23" s="1"/>
  <c r="X318" i="23"/>
  <c r="Y318" i="23" s="1"/>
  <c r="X320" i="23"/>
  <c r="Y320" i="23" s="1"/>
  <c r="X322" i="23"/>
  <c r="Y322" i="23" s="1"/>
  <c r="X23" i="23"/>
  <c r="AF24" i="23"/>
  <c r="AG24" i="23" s="1"/>
  <c r="AF27" i="23"/>
  <c r="AG27" i="23" s="1"/>
  <c r="AF28" i="23"/>
  <c r="AG28" i="23" s="1"/>
  <c r="AF30" i="23"/>
  <c r="AG30" i="23" s="1"/>
  <c r="AF25" i="23"/>
  <c r="AG25" i="23" s="1"/>
  <c r="AF31" i="23"/>
  <c r="AG31" i="23" s="1"/>
  <c r="AF32" i="23"/>
  <c r="AG32" i="23" s="1"/>
  <c r="AF35" i="23"/>
  <c r="AG35" i="23" s="1"/>
  <c r="AF38" i="23"/>
  <c r="AG38" i="23" s="1"/>
  <c r="AF40" i="23"/>
  <c r="AG40" i="23" s="1"/>
  <c r="AF41" i="23"/>
  <c r="AG41" i="23" s="1"/>
  <c r="AF34" i="23"/>
  <c r="AG34" i="23" s="1"/>
  <c r="AF39" i="23"/>
  <c r="AG39" i="23" s="1"/>
  <c r="AF26" i="23"/>
  <c r="AG26" i="23" s="1"/>
  <c r="AF29" i="23"/>
  <c r="AG29" i="23" s="1"/>
  <c r="AF36" i="23"/>
  <c r="AG36" i="23" s="1"/>
  <c r="AF42" i="23"/>
  <c r="AG42" i="23" s="1"/>
  <c r="AF43" i="23"/>
  <c r="AG43" i="23" s="1"/>
  <c r="AF45" i="23"/>
  <c r="AG45" i="23" s="1"/>
  <c r="AF46" i="23"/>
  <c r="AG46" i="23" s="1"/>
  <c r="AF47" i="23"/>
  <c r="AG47" i="23" s="1"/>
  <c r="AF49" i="23"/>
  <c r="AG49" i="23" s="1"/>
  <c r="AF50" i="23"/>
  <c r="AG50" i="23" s="1"/>
  <c r="AF52" i="23"/>
  <c r="AG52" i="23" s="1"/>
  <c r="AF53" i="23"/>
  <c r="AG53" i="23" s="1"/>
  <c r="AF54" i="23"/>
  <c r="AG54" i="23" s="1"/>
  <c r="AF56" i="23"/>
  <c r="AG56" i="23" s="1"/>
  <c r="AF60" i="23"/>
  <c r="AG60" i="23" s="1"/>
  <c r="AF63" i="23"/>
  <c r="AG63" i="23" s="1"/>
  <c r="AF65" i="23"/>
  <c r="AG65" i="23" s="1"/>
  <c r="AF67" i="23"/>
  <c r="AG67" i="23" s="1"/>
  <c r="AF33" i="23"/>
  <c r="AG33" i="23" s="1"/>
  <c r="AF48" i="23"/>
  <c r="AG48" i="23" s="1"/>
  <c r="AF55" i="23"/>
  <c r="AG55" i="23" s="1"/>
  <c r="AF57" i="23"/>
  <c r="AG57" i="23" s="1"/>
  <c r="AF58" i="23"/>
  <c r="AG58" i="23" s="1"/>
  <c r="AF59" i="23"/>
  <c r="AG59" i="23" s="1"/>
  <c r="AF61" i="23"/>
  <c r="AG61" i="23" s="1"/>
  <c r="AF62" i="23"/>
  <c r="AG62" i="23" s="1"/>
  <c r="AF37" i="23"/>
  <c r="AG37" i="23" s="1"/>
  <c r="AF64" i="23"/>
  <c r="AG64" i="23" s="1"/>
  <c r="AF68" i="23"/>
  <c r="AG68" i="23" s="1"/>
  <c r="AF69" i="23"/>
  <c r="AG69" i="23" s="1"/>
  <c r="AF71" i="23"/>
  <c r="AG71" i="23" s="1"/>
  <c r="AF74" i="23"/>
  <c r="AG74" i="23" s="1"/>
  <c r="AF76" i="23"/>
  <c r="AG76" i="23" s="1"/>
  <c r="AF77" i="23"/>
  <c r="AG77" i="23" s="1"/>
  <c r="AF79" i="23"/>
  <c r="AG79" i="23" s="1"/>
  <c r="AF81" i="23"/>
  <c r="AG81" i="23" s="1"/>
  <c r="AF82" i="23"/>
  <c r="AG82" i="23" s="1"/>
  <c r="AF85" i="23"/>
  <c r="AG85" i="23" s="1"/>
  <c r="AF86" i="23"/>
  <c r="AG86" i="23" s="1"/>
  <c r="AF87" i="23"/>
  <c r="AG87" i="23" s="1"/>
  <c r="AF88" i="23"/>
  <c r="AG88" i="23" s="1"/>
  <c r="AF96" i="23"/>
  <c r="AG96" i="23" s="1"/>
  <c r="AF97" i="23"/>
  <c r="AG97" i="23" s="1"/>
  <c r="AF100" i="23"/>
  <c r="AG100" i="23" s="1"/>
  <c r="AF101" i="23"/>
  <c r="AG101" i="23" s="1"/>
  <c r="AF104" i="23"/>
  <c r="AG104" i="23" s="1"/>
  <c r="AF105" i="23"/>
  <c r="AG105" i="23" s="1"/>
  <c r="AF108" i="23"/>
  <c r="AG108" i="23" s="1"/>
  <c r="AF109" i="23"/>
  <c r="AG109" i="23" s="1"/>
  <c r="AF110" i="23"/>
  <c r="AG110" i="23" s="1"/>
  <c r="AF111" i="23"/>
  <c r="AG111" i="23" s="1"/>
  <c r="AF113" i="23"/>
  <c r="AG113" i="23" s="1"/>
  <c r="AF114" i="23"/>
  <c r="AG114" i="23" s="1"/>
  <c r="AF115" i="23"/>
  <c r="AG115" i="23" s="1"/>
  <c r="AF117" i="23"/>
  <c r="AG117" i="23" s="1"/>
  <c r="AF118" i="23"/>
  <c r="AG118" i="23" s="1"/>
  <c r="AF121" i="23"/>
  <c r="AG121" i="23" s="1"/>
  <c r="AF122" i="23"/>
  <c r="AG122" i="23" s="1"/>
  <c r="AF44" i="23"/>
  <c r="AG44" i="23" s="1"/>
  <c r="AF51" i="23"/>
  <c r="AG51" i="23" s="1"/>
  <c r="AF66" i="23"/>
  <c r="AG66" i="23" s="1"/>
  <c r="AF70" i="23"/>
  <c r="AG70" i="23" s="1"/>
  <c r="AF72" i="23"/>
  <c r="AG72" i="23" s="1"/>
  <c r="AF73" i="23"/>
  <c r="AG73" i="23" s="1"/>
  <c r="AF75" i="23"/>
  <c r="AG75" i="23" s="1"/>
  <c r="AF78" i="23"/>
  <c r="AG78" i="23" s="1"/>
  <c r="AF80" i="23"/>
  <c r="AG80" i="23" s="1"/>
  <c r="AF83" i="23"/>
  <c r="AG83" i="23" s="1"/>
  <c r="AF84" i="23"/>
  <c r="AG84" i="23" s="1"/>
  <c r="AF89" i="23"/>
  <c r="AG89" i="23" s="1"/>
  <c r="AF90" i="23"/>
  <c r="AG90" i="23" s="1"/>
  <c r="AF94" i="23"/>
  <c r="AG94" i="23" s="1"/>
  <c r="AF95" i="23"/>
  <c r="AG95" i="23" s="1"/>
  <c r="AF102" i="23"/>
  <c r="AG102" i="23" s="1"/>
  <c r="AF103" i="23"/>
  <c r="AG103" i="23" s="1"/>
  <c r="AF112" i="23"/>
  <c r="AG112" i="23" s="1"/>
  <c r="AF120" i="23"/>
  <c r="AG120" i="23" s="1"/>
  <c r="AF124" i="23"/>
  <c r="AG124" i="23" s="1"/>
  <c r="AF129" i="23"/>
  <c r="AG129" i="23" s="1"/>
  <c r="AF130" i="23"/>
  <c r="AG130" i="23" s="1"/>
  <c r="AF131" i="23"/>
  <c r="AG131" i="23" s="1"/>
  <c r="AF133" i="23"/>
  <c r="AG133" i="23" s="1"/>
  <c r="AF134" i="23"/>
  <c r="AG134" i="23" s="1"/>
  <c r="AF137" i="23"/>
  <c r="AG137" i="23" s="1"/>
  <c r="AF138" i="23"/>
  <c r="AG138" i="23" s="1"/>
  <c r="AF139" i="23"/>
  <c r="AG139" i="23" s="1"/>
  <c r="AF141" i="23"/>
  <c r="AG141" i="23" s="1"/>
  <c r="AF142" i="23"/>
  <c r="AG142" i="23" s="1"/>
  <c r="AF144" i="23"/>
  <c r="AG144" i="23" s="1"/>
  <c r="AF146" i="23"/>
  <c r="AG146" i="23" s="1"/>
  <c r="AF148" i="23"/>
  <c r="AG148" i="23" s="1"/>
  <c r="AF149" i="23"/>
  <c r="AG149" i="23" s="1"/>
  <c r="AF150" i="23"/>
  <c r="AG150" i="23" s="1"/>
  <c r="AF153" i="23"/>
  <c r="AG153" i="23" s="1"/>
  <c r="AF154" i="23"/>
  <c r="AG154" i="23" s="1"/>
  <c r="AF157" i="23"/>
  <c r="AG157" i="23" s="1"/>
  <c r="AF158" i="23"/>
  <c r="AG158" i="23" s="1"/>
  <c r="AF161" i="23"/>
  <c r="AG161" i="23" s="1"/>
  <c r="AF162" i="23"/>
  <c r="AG162" i="23" s="1"/>
  <c r="AF165" i="23"/>
  <c r="AG165" i="23" s="1"/>
  <c r="AF166" i="23"/>
  <c r="AG166" i="23" s="1"/>
  <c r="AF169" i="23"/>
  <c r="AG169" i="23" s="1"/>
  <c r="AF170" i="23"/>
  <c r="AG170" i="23" s="1"/>
  <c r="AF173" i="23"/>
  <c r="AG173" i="23" s="1"/>
  <c r="AF174" i="23"/>
  <c r="AG174" i="23" s="1"/>
  <c r="AF92" i="23"/>
  <c r="AG92" i="23" s="1"/>
  <c r="AF98" i="23"/>
  <c r="AG98" i="23" s="1"/>
  <c r="AF99" i="23"/>
  <c r="AG99" i="23" s="1"/>
  <c r="AF116" i="23"/>
  <c r="AG116" i="23" s="1"/>
  <c r="AF123" i="23"/>
  <c r="AG123" i="23" s="1"/>
  <c r="AF125" i="23"/>
  <c r="AG125" i="23" s="1"/>
  <c r="AF126" i="23"/>
  <c r="AG126" i="23" s="1"/>
  <c r="AF127" i="23"/>
  <c r="AG127" i="23" s="1"/>
  <c r="AF128" i="23"/>
  <c r="AG128" i="23" s="1"/>
  <c r="AF136" i="23"/>
  <c r="AG136" i="23" s="1"/>
  <c r="AF143" i="23"/>
  <c r="AG143" i="23" s="1"/>
  <c r="AF145" i="23"/>
  <c r="AG145" i="23" s="1"/>
  <c r="AF147" i="23"/>
  <c r="AG147" i="23" s="1"/>
  <c r="AF151" i="23"/>
  <c r="AG151" i="23" s="1"/>
  <c r="AF152" i="23"/>
  <c r="AG152" i="23" s="1"/>
  <c r="AF159" i="23"/>
  <c r="AG159" i="23" s="1"/>
  <c r="AF160" i="23"/>
  <c r="AG160" i="23" s="1"/>
  <c r="AF167" i="23"/>
  <c r="AG167" i="23" s="1"/>
  <c r="AF168" i="23"/>
  <c r="AG168" i="23" s="1"/>
  <c r="AF176" i="23"/>
  <c r="AG176" i="23" s="1"/>
  <c r="AF179" i="23"/>
  <c r="AG179" i="23" s="1"/>
  <c r="AF181" i="23"/>
  <c r="AG181" i="23" s="1"/>
  <c r="AF182" i="23"/>
  <c r="AG182" i="23" s="1"/>
  <c r="AF183" i="23"/>
  <c r="AG183" i="23" s="1"/>
  <c r="AF184" i="23"/>
  <c r="AG184" i="23" s="1"/>
  <c r="AF185" i="23"/>
  <c r="AG185" i="23" s="1"/>
  <c r="AF186" i="23"/>
  <c r="AG186" i="23" s="1"/>
  <c r="AF187" i="23"/>
  <c r="AG187" i="23" s="1"/>
  <c r="AF188" i="23"/>
  <c r="AG188" i="23" s="1"/>
  <c r="AF189" i="23"/>
  <c r="AG189" i="23" s="1"/>
  <c r="AF190" i="23"/>
  <c r="AG190" i="23" s="1"/>
  <c r="AF199" i="23"/>
  <c r="AG199" i="23" s="1"/>
  <c r="AF200" i="23"/>
  <c r="AG200" i="23" s="1"/>
  <c r="AF201" i="23"/>
  <c r="AG201" i="23" s="1"/>
  <c r="AF202" i="23"/>
  <c r="AG202" i="23" s="1"/>
  <c r="AF206" i="23"/>
  <c r="AG206" i="23" s="1"/>
  <c r="AF210" i="23"/>
  <c r="AG210" i="23" s="1"/>
  <c r="AF212" i="23"/>
  <c r="AG212" i="23" s="1"/>
  <c r="AF91" i="23"/>
  <c r="AG91" i="23" s="1"/>
  <c r="AF106" i="23"/>
  <c r="AG106" i="23" s="1"/>
  <c r="AF132" i="23"/>
  <c r="AG132" i="23" s="1"/>
  <c r="AF156" i="23"/>
  <c r="AG156" i="23" s="1"/>
  <c r="AF163" i="23"/>
  <c r="AG163" i="23" s="1"/>
  <c r="AF172" i="23"/>
  <c r="AG172" i="23" s="1"/>
  <c r="AF175" i="23"/>
  <c r="AG175" i="23" s="1"/>
  <c r="AF177" i="23"/>
  <c r="AG177" i="23" s="1"/>
  <c r="AF178" i="23"/>
  <c r="AG178" i="23" s="1"/>
  <c r="AF194" i="23"/>
  <c r="AG194" i="23" s="1"/>
  <c r="AF198" i="23"/>
  <c r="AG198" i="23" s="1"/>
  <c r="AF204" i="23"/>
  <c r="AG204" i="23" s="1"/>
  <c r="AF208" i="23"/>
  <c r="AG208" i="23" s="1"/>
  <c r="AF211" i="23"/>
  <c r="AG211" i="23" s="1"/>
  <c r="AF213" i="23"/>
  <c r="AG213" i="23" s="1"/>
  <c r="AF214" i="23"/>
  <c r="AG214" i="23" s="1"/>
  <c r="AF215" i="23"/>
  <c r="AG215" i="23" s="1"/>
  <c r="AF216" i="23"/>
  <c r="AG216" i="23" s="1"/>
  <c r="AF221" i="23"/>
  <c r="AG221" i="23" s="1"/>
  <c r="AF222" i="23"/>
  <c r="AG222" i="23" s="1"/>
  <c r="AF225" i="23"/>
  <c r="AG225" i="23" s="1"/>
  <c r="AF227" i="23"/>
  <c r="AG227" i="23" s="1"/>
  <c r="AF228" i="23"/>
  <c r="AG228" i="23" s="1"/>
  <c r="AF229" i="23"/>
  <c r="AG229" i="23" s="1"/>
  <c r="AF230" i="23"/>
  <c r="AG230" i="23" s="1"/>
  <c r="AF232" i="23"/>
  <c r="AG232" i="23" s="1"/>
  <c r="AF233" i="23"/>
  <c r="AG233" i="23" s="1"/>
  <c r="AF234" i="23"/>
  <c r="AG234" i="23" s="1"/>
  <c r="AF236" i="23"/>
  <c r="AG236" i="23" s="1"/>
  <c r="AF237" i="23"/>
  <c r="AG237" i="23" s="1"/>
  <c r="AF238" i="23"/>
  <c r="AG238" i="23" s="1"/>
  <c r="AF239" i="23"/>
  <c r="AG239" i="23" s="1"/>
  <c r="AF241" i="23"/>
  <c r="AG241" i="23" s="1"/>
  <c r="AF244" i="23"/>
  <c r="AG244" i="23" s="1"/>
  <c r="AF248" i="23"/>
  <c r="AG248" i="23" s="1"/>
  <c r="AF250" i="23"/>
  <c r="AG250" i="23" s="1"/>
  <c r="AF251" i="23"/>
  <c r="AG251" i="23" s="1"/>
  <c r="AF253" i="23"/>
  <c r="AG253" i="23" s="1"/>
  <c r="AF256" i="23"/>
  <c r="AG256" i="23" s="1"/>
  <c r="AF257" i="23"/>
  <c r="AG257" i="23" s="1"/>
  <c r="AF260" i="23"/>
  <c r="AG260" i="23" s="1"/>
  <c r="AF261" i="23"/>
  <c r="AG261" i="23" s="1"/>
  <c r="AF262" i="23"/>
  <c r="AG262" i="23" s="1"/>
  <c r="AF263" i="23"/>
  <c r="AG263" i="23" s="1"/>
  <c r="AF265" i="23"/>
  <c r="AG265" i="23" s="1"/>
  <c r="AF266" i="23"/>
  <c r="AG266" i="23" s="1"/>
  <c r="AF269" i="23"/>
  <c r="AG269" i="23" s="1"/>
  <c r="AF270" i="23"/>
  <c r="AG270" i="23" s="1"/>
  <c r="AF272" i="23"/>
  <c r="AG272" i="23" s="1"/>
  <c r="AF275" i="23"/>
  <c r="AG275" i="23" s="1"/>
  <c r="AF276" i="23"/>
  <c r="AG276" i="23" s="1"/>
  <c r="AF277" i="23"/>
  <c r="AG277" i="23" s="1"/>
  <c r="AF278" i="23"/>
  <c r="AG278" i="23" s="1"/>
  <c r="AF281" i="23"/>
  <c r="AG281" i="23" s="1"/>
  <c r="AF282" i="23"/>
  <c r="AG282" i="23" s="1"/>
  <c r="AF283" i="23"/>
  <c r="AG283" i="23" s="1"/>
  <c r="AF284" i="23"/>
  <c r="AG284" i="23" s="1"/>
  <c r="AF287" i="23"/>
  <c r="AG287" i="23" s="1"/>
  <c r="AF288" i="23"/>
  <c r="AG288" i="23" s="1"/>
  <c r="AF293" i="23"/>
  <c r="AG293" i="23" s="1"/>
  <c r="AF294" i="23"/>
  <c r="AG294" i="23" s="1"/>
  <c r="AF297" i="23"/>
  <c r="AG297" i="23" s="1"/>
  <c r="AF298" i="23"/>
  <c r="AG298" i="23" s="1"/>
  <c r="AF301" i="23"/>
  <c r="AG301" i="23" s="1"/>
  <c r="AF302" i="23"/>
  <c r="AG302" i="23" s="1"/>
  <c r="AF304" i="23"/>
  <c r="AG304" i="23" s="1"/>
  <c r="AF305" i="23"/>
  <c r="AG305" i="23" s="1"/>
  <c r="AF306" i="23"/>
  <c r="AG306" i="23" s="1"/>
  <c r="AF308" i="23"/>
  <c r="AG308" i="23" s="1"/>
  <c r="AF309" i="23"/>
  <c r="AG309" i="23" s="1"/>
  <c r="AF310" i="23"/>
  <c r="AG310" i="23" s="1"/>
  <c r="AF312" i="23"/>
  <c r="AG312" i="23" s="1"/>
  <c r="AF313" i="23"/>
  <c r="AG313" i="23" s="1"/>
  <c r="AF314" i="23"/>
  <c r="AG314" i="23" s="1"/>
  <c r="AF93" i="23"/>
  <c r="AG93" i="23" s="1"/>
  <c r="AF107" i="23"/>
  <c r="AG107" i="23" s="1"/>
  <c r="AF119" i="23"/>
  <c r="AG119" i="23" s="1"/>
  <c r="AF135" i="23"/>
  <c r="AG135" i="23" s="1"/>
  <c r="AF140" i="23"/>
  <c r="AG140" i="23" s="1"/>
  <c r="AF155" i="23"/>
  <c r="AG155" i="23" s="1"/>
  <c r="AF164" i="23"/>
  <c r="AG164" i="23" s="1"/>
  <c r="AF171" i="23"/>
  <c r="AG171" i="23" s="1"/>
  <c r="AF180" i="23"/>
  <c r="AG180" i="23" s="1"/>
  <c r="AF191" i="23"/>
  <c r="AG191" i="23" s="1"/>
  <c r="AF192" i="23"/>
  <c r="AG192" i="23" s="1"/>
  <c r="AF193" i="23"/>
  <c r="AG193" i="23" s="1"/>
  <c r="AF195" i="23"/>
  <c r="AG195" i="23" s="1"/>
  <c r="AF196" i="23"/>
  <c r="AG196" i="23" s="1"/>
  <c r="AF197" i="23"/>
  <c r="AG197" i="23" s="1"/>
  <c r="AF203" i="23"/>
  <c r="AG203" i="23" s="1"/>
  <c r="AF205" i="23"/>
  <c r="AG205" i="23" s="1"/>
  <c r="AF207" i="23"/>
  <c r="AG207" i="23" s="1"/>
  <c r="AF209" i="23"/>
  <c r="AG209" i="23" s="1"/>
  <c r="AF217" i="23"/>
  <c r="AG217" i="23" s="1"/>
  <c r="AF218" i="23"/>
  <c r="AG218" i="23" s="1"/>
  <c r="AF219" i="23"/>
  <c r="AG219" i="23" s="1"/>
  <c r="AF220" i="23"/>
  <c r="AG220" i="23" s="1"/>
  <c r="AF223" i="23"/>
  <c r="AG223" i="23" s="1"/>
  <c r="AF224" i="23"/>
  <c r="AG224" i="23" s="1"/>
  <c r="AF226" i="23"/>
  <c r="AG226" i="23" s="1"/>
  <c r="AF231" i="23"/>
  <c r="AG231" i="23" s="1"/>
  <c r="AF235" i="23"/>
  <c r="AG235" i="23" s="1"/>
  <c r="AF240" i="23"/>
  <c r="AG240" i="23" s="1"/>
  <c r="AF242" i="23"/>
  <c r="AG242" i="23" s="1"/>
  <c r="AF243" i="23"/>
  <c r="AG243" i="23" s="1"/>
  <c r="AF245" i="23"/>
  <c r="AG245" i="23" s="1"/>
  <c r="AF246" i="23"/>
  <c r="AG246" i="23" s="1"/>
  <c r="AF247" i="23"/>
  <c r="AG247" i="23" s="1"/>
  <c r="AF249" i="23"/>
  <c r="AG249" i="23" s="1"/>
  <c r="AF252" i="23"/>
  <c r="AG252" i="23" s="1"/>
  <c r="AF254" i="23"/>
  <c r="AG254" i="23" s="1"/>
  <c r="AF255" i="23"/>
  <c r="AG255" i="23" s="1"/>
  <c r="AF258" i="23"/>
  <c r="AG258" i="23" s="1"/>
  <c r="AF259" i="23"/>
  <c r="AG259" i="23" s="1"/>
  <c r="AF264" i="23"/>
  <c r="AG264" i="23" s="1"/>
  <c r="AF267" i="23"/>
  <c r="AG267" i="23" s="1"/>
  <c r="AF268" i="23"/>
  <c r="AG268" i="23" s="1"/>
  <c r="AF271" i="23"/>
  <c r="AG271" i="23" s="1"/>
  <c r="AF273" i="23"/>
  <c r="AG273" i="23" s="1"/>
  <c r="AF274" i="23"/>
  <c r="AG274" i="23" s="1"/>
  <c r="AF279" i="23"/>
  <c r="AG279" i="23" s="1"/>
  <c r="AF280" i="23"/>
  <c r="AG280" i="23" s="1"/>
  <c r="AF285" i="23"/>
  <c r="AG285" i="23" s="1"/>
  <c r="AF286" i="23"/>
  <c r="AG286" i="23" s="1"/>
  <c r="AF289" i="23"/>
  <c r="AG289" i="23" s="1"/>
  <c r="AF290" i="23"/>
  <c r="AG290" i="23" s="1"/>
  <c r="AF291" i="23"/>
  <c r="AG291" i="23" s="1"/>
  <c r="AF292" i="23"/>
  <c r="AG292" i="23" s="1"/>
  <c r="AF295" i="23"/>
  <c r="AG295" i="23" s="1"/>
  <c r="AF296" i="23"/>
  <c r="AG296" i="23" s="1"/>
  <c r="AF299" i="23"/>
  <c r="AG299" i="23" s="1"/>
  <c r="AF300" i="23"/>
  <c r="AG300" i="23" s="1"/>
  <c r="AF303" i="23"/>
  <c r="AG303" i="23" s="1"/>
  <c r="AF307" i="23"/>
  <c r="AG307" i="23" s="1"/>
  <c r="AF311" i="23"/>
  <c r="AG311" i="23" s="1"/>
  <c r="AF315" i="23"/>
  <c r="AG315" i="23" s="1"/>
  <c r="AF316" i="23"/>
  <c r="AG316" i="23" s="1"/>
  <c r="AF317" i="23"/>
  <c r="AG317" i="23" s="1"/>
  <c r="AF319" i="23"/>
  <c r="AG319" i="23" s="1"/>
  <c r="AF321" i="23"/>
  <c r="AG321" i="23" s="1"/>
  <c r="AF320" i="23"/>
  <c r="AG320" i="23" s="1"/>
  <c r="AF23" i="23"/>
  <c r="AF318" i="23"/>
  <c r="AG318" i="23" s="1"/>
  <c r="AF322" i="23"/>
  <c r="AG322" i="23" s="1"/>
  <c r="E24" i="23"/>
  <c r="F24" i="23" s="1"/>
  <c r="G24" i="23" s="1"/>
  <c r="H24" i="23" s="1"/>
  <c r="E28" i="23"/>
  <c r="F28" i="23" s="1"/>
  <c r="G28" i="23" s="1"/>
  <c r="H28" i="23" s="1"/>
  <c r="E25" i="23"/>
  <c r="F25" i="23" s="1"/>
  <c r="G25" i="23" s="1"/>
  <c r="H25" i="23" s="1"/>
  <c r="E26" i="23"/>
  <c r="F26" i="23" s="1"/>
  <c r="G26" i="23" s="1"/>
  <c r="H26" i="23" s="1"/>
  <c r="E27" i="23"/>
  <c r="F27" i="23" s="1"/>
  <c r="G27" i="23" s="1"/>
  <c r="H27" i="23" s="1"/>
  <c r="E32" i="23"/>
  <c r="F32" i="23" s="1"/>
  <c r="G32" i="23" s="1"/>
  <c r="H32" i="23" s="1"/>
  <c r="E36" i="23"/>
  <c r="F36" i="23" s="1"/>
  <c r="G36" i="23" s="1"/>
  <c r="H36" i="23" s="1"/>
  <c r="E39" i="23"/>
  <c r="F39" i="23" s="1"/>
  <c r="G39" i="23" s="1"/>
  <c r="H39" i="23" s="1"/>
  <c r="E41" i="23"/>
  <c r="F41" i="23" s="1"/>
  <c r="G41" i="23" s="1"/>
  <c r="H41" i="23" s="1"/>
  <c r="E42" i="23"/>
  <c r="F42" i="23" s="1"/>
  <c r="G42" i="23" s="1"/>
  <c r="H42" i="23" s="1"/>
  <c r="E29" i="23"/>
  <c r="F29" i="23" s="1"/>
  <c r="G29" i="23" s="1"/>
  <c r="H29" i="23" s="1"/>
  <c r="E30" i="23"/>
  <c r="F30" i="23" s="1"/>
  <c r="G30" i="23" s="1"/>
  <c r="H30" i="23" s="1"/>
  <c r="E31" i="23"/>
  <c r="F31" i="23" s="1"/>
  <c r="G31" i="23" s="1"/>
  <c r="H31" i="23" s="1"/>
  <c r="E37" i="23"/>
  <c r="F37" i="23" s="1"/>
  <c r="G37" i="23" s="1"/>
  <c r="H37" i="23" s="1"/>
  <c r="E40" i="23"/>
  <c r="F40" i="23" s="1"/>
  <c r="G40" i="23" s="1"/>
  <c r="H40" i="23" s="1"/>
  <c r="E33" i="23"/>
  <c r="F33" i="23" s="1"/>
  <c r="G33" i="23" s="1"/>
  <c r="H33" i="23" s="1"/>
  <c r="E34" i="23"/>
  <c r="F34" i="23" s="1"/>
  <c r="G34" i="23" s="1"/>
  <c r="H34" i="23" s="1"/>
  <c r="E35" i="23"/>
  <c r="F35" i="23" s="1"/>
  <c r="G35" i="23" s="1"/>
  <c r="H35" i="23" s="1"/>
  <c r="E38" i="23"/>
  <c r="F38" i="23" s="1"/>
  <c r="G38" i="23" s="1"/>
  <c r="H38" i="23" s="1"/>
  <c r="E44" i="23"/>
  <c r="F44" i="23" s="1"/>
  <c r="G44" i="23" s="1"/>
  <c r="H44" i="23" s="1"/>
  <c r="E45" i="23"/>
  <c r="F45" i="23" s="1"/>
  <c r="G45" i="23" s="1"/>
  <c r="H45" i="23" s="1"/>
  <c r="E46" i="23"/>
  <c r="F46" i="23" s="1"/>
  <c r="G46" i="23" s="1"/>
  <c r="H46" i="23" s="1"/>
  <c r="E48" i="23"/>
  <c r="F48" i="23" s="1"/>
  <c r="G48" i="23" s="1"/>
  <c r="H48" i="23" s="1"/>
  <c r="E49" i="23"/>
  <c r="F49" i="23" s="1"/>
  <c r="G49" i="23" s="1"/>
  <c r="H49" i="23" s="1"/>
  <c r="E50" i="23"/>
  <c r="F50" i="23" s="1"/>
  <c r="G50" i="23" s="1"/>
  <c r="H50" i="23" s="1"/>
  <c r="E51" i="23"/>
  <c r="F51" i="23" s="1"/>
  <c r="G51" i="23" s="1"/>
  <c r="H51" i="23" s="1"/>
  <c r="E54" i="23"/>
  <c r="F54" i="23" s="1"/>
  <c r="G54" i="23" s="1"/>
  <c r="H54" i="23" s="1"/>
  <c r="E55" i="23"/>
  <c r="F55" i="23" s="1"/>
  <c r="G55" i="23" s="1"/>
  <c r="H55" i="23" s="1"/>
  <c r="E59" i="23"/>
  <c r="F59" i="23" s="1"/>
  <c r="G59" i="23" s="1"/>
  <c r="H59" i="23" s="1"/>
  <c r="E64" i="23"/>
  <c r="F64" i="23" s="1"/>
  <c r="G64" i="23" s="1"/>
  <c r="H64" i="23" s="1"/>
  <c r="E65" i="23"/>
  <c r="F65" i="23" s="1"/>
  <c r="G65" i="23" s="1"/>
  <c r="H65" i="23" s="1"/>
  <c r="E66" i="23"/>
  <c r="F66" i="23" s="1"/>
  <c r="G66" i="23" s="1"/>
  <c r="H66" i="23" s="1"/>
  <c r="E47" i="23"/>
  <c r="F47" i="23" s="1"/>
  <c r="G47" i="23" s="1"/>
  <c r="H47" i="23" s="1"/>
  <c r="E53" i="23"/>
  <c r="F53" i="23" s="1"/>
  <c r="G53" i="23" s="1"/>
  <c r="H53" i="23" s="1"/>
  <c r="E56" i="23"/>
  <c r="F56" i="23" s="1"/>
  <c r="G56" i="23" s="1"/>
  <c r="H56" i="23" s="1"/>
  <c r="E58" i="23"/>
  <c r="F58" i="23" s="1"/>
  <c r="G58" i="23" s="1"/>
  <c r="H58" i="23" s="1"/>
  <c r="E60" i="23"/>
  <c r="F60" i="23" s="1"/>
  <c r="G60" i="23" s="1"/>
  <c r="H60" i="23" s="1"/>
  <c r="E62" i="23"/>
  <c r="F62" i="23" s="1"/>
  <c r="G62" i="23" s="1"/>
  <c r="H62" i="23" s="1"/>
  <c r="E67" i="23"/>
  <c r="F67" i="23" s="1"/>
  <c r="G67" i="23" s="1"/>
  <c r="H67" i="23" s="1"/>
  <c r="E52" i="23"/>
  <c r="F52" i="23" s="1"/>
  <c r="G52" i="23" s="1"/>
  <c r="H52" i="23" s="1"/>
  <c r="E63" i="23"/>
  <c r="F63" i="23" s="1"/>
  <c r="G63" i="23" s="1"/>
  <c r="H63" i="23" s="1"/>
  <c r="E70" i="23"/>
  <c r="F70" i="23" s="1"/>
  <c r="G70" i="23" s="1"/>
  <c r="H70" i="23" s="1"/>
  <c r="E72" i="23"/>
  <c r="F72" i="23" s="1"/>
  <c r="G72" i="23" s="1"/>
  <c r="H72" i="23" s="1"/>
  <c r="E73" i="23"/>
  <c r="F73" i="23" s="1"/>
  <c r="G73" i="23" s="1"/>
  <c r="H73" i="23" s="1"/>
  <c r="E75" i="23"/>
  <c r="F75" i="23" s="1"/>
  <c r="G75" i="23" s="1"/>
  <c r="H75" i="23" s="1"/>
  <c r="E78" i="23"/>
  <c r="F78" i="23" s="1"/>
  <c r="G78" i="23" s="1"/>
  <c r="H78" i="23" s="1"/>
  <c r="E80" i="23"/>
  <c r="F80" i="23" s="1"/>
  <c r="G80" i="23" s="1"/>
  <c r="H80" i="23" s="1"/>
  <c r="E82" i="23"/>
  <c r="F82" i="23" s="1"/>
  <c r="G82" i="23" s="1"/>
  <c r="H82" i="23" s="1"/>
  <c r="E83" i="23"/>
  <c r="F83" i="23" s="1"/>
  <c r="G83" i="23" s="1"/>
  <c r="H83" i="23" s="1"/>
  <c r="E86" i="23"/>
  <c r="F86" i="23" s="1"/>
  <c r="G86" i="23" s="1"/>
  <c r="H86" i="23" s="1"/>
  <c r="E87" i="23"/>
  <c r="F87" i="23" s="1"/>
  <c r="G87" i="23" s="1"/>
  <c r="H87" i="23" s="1"/>
  <c r="E88" i="23"/>
  <c r="F88" i="23" s="1"/>
  <c r="G88" i="23" s="1"/>
  <c r="H88" i="23" s="1"/>
  <c r="E89" i="23"/>
  <c r="F89" i="23" s="1"/>
  <c r="G89" i="23" s="1"/>
  <c r="H89" i="23" s="1"/>
  <c r="E95" i="23"/>
  <c r="F95" i="23" s="1"/>
  <c r="G95" i="23" s="1"/>
  <c r="H95" i="23" s="1"/>
  <c r="E96" i="23"/>
  <c r="F96" i="23" s="1"/>
  <c r="G96" i="23" s="1"/>
  <c r="H96" i="23" s="1"/>
  <c r="E99" i="23"/>
  <c r="F99" i="23" s="1"/>
  <c r="G99" i="23" s="1"/>
  <c r="H99" i="23" s="1"/>
  <c r="E100" i="23"/>
  <c r="F100" i="23" s="1"/>
  <c r="G100" i="23" s="1"/>
  <c r="H100" i="23" s="1"/>
  <c r="E103" i="23"/>
  <c r="F103" i="23" s="1"/>
  <c r="G103" i="23" s="1"/>
  <c r="H103" i="23" s="1"/>
  <c r="E104" i="23"/>
  <c r="F104" i="23" s="1"/>
  <c r="G104" i="23" s="1"/>
  <c r="H104" i="23" s="1"/>
  <c r="E107" i="23"/>
  <c r="F107" i="23" s="1"/>
  <c r="G107" i="23" s="1"/>
  <c r="H107" i="23" s="1"/>
  <c r="E108" i="23"/>
  <c r="F108" i="23" s="1"/>
  <c r="G108" i="23" s="1"/>
  <c r="H108" i="23" s="1"/>
  <c r="E114" i="23"/>
  <c r="F114" i="23" s="1"/>
  <c r="G114" i="23" s="1"/>
  <c r="H114" i="23" s="1"/>
  <c r="E115" i="23"/>
  <c r="F115" i="23" s="1"/>
  <c r="G115" i="23" s="1"/>
  <c r="H115" i="23" s="1"/>
  <c r="E116" i="23"/>
  <c r="F116" i="23" s="1"/>
  <c r="G116" i="23" s="1"/>
  <c r="H116" i="23" s="1"/>
  <c r="E118" i="23"/>
  <c r="F118" i="23" s="1"/>
  <c r="G118" i="23" s="1"/>
  <c r="H118" i="23" s="1"/>
  <c r="E119" i="23"/>
  <c r="F119" i="23" s="1"/>
  <c r="G119" i="23" s="1"/>
  <c r="H119" i="23" s="1"/>
  <c r="E122" i="23"/>
  <c r="F122" i="23" s="1"/>
  <c r="G122" i="23" s="1"/>
  <c r="H122" i="23" s="1"/>
  <c r="E123" i="23"/>
  <c r="F123" i="23" s="1"/>
  <c r="G123" i="23" s="1"/>
  <c r="H123" i="23" s="1"/>
  <c r="E43" i="23"/>
  <c r="F43" i="23" s="1"/>
  <c r="G43" i="23" s="1"/>
  <c r="H43" i="23" s="1"/>
  <c r="E57" i="23"/>
  <c r="F57" i="23" s="1"/>
  <c r="G57" i="23" s="1"/>
  <c r="H57" i="23" s="1"/>
  <c r="E61" i="23"/>
  <c r="F61" i="23" s="1"/>
  <c r="G61" i="23" s="1"/>
  <c r="H61" i="23" s="1"/>
  <c r="E68" i="23"/>
  <c r="F68" i="23" s="1"/>
  <c r="G68" i="23" s="1"/>
  <c r="H68" i="23" s="1"/>
  <c r="E69" i="23"/>
  <c r="F69" i="23" s="1"/>
  <c r="G69" i="23" s="1"/>
  <c r="H69" i="23" s="1"/>
  <c r="E71" i="23"/>
  <c r="F71" i="23" s="1"/>
  <c r="G71" i="23" s="1"/>
  <c r="H71" i="23" s="1"/>
  <c r="E74" i="23"/>
  <c r="F74" i="23" s="1"/>
  <c r="G74" i="23" s="1"/>
  <c r="H74" i="23" s="1"/>
  <c r="E76" i="23"/>
  <c r="F76" i="23" s="1"/>
  <c r="G76" i="23" s="1"/>
  <c r="H76" i="23" s="1"/>
  <c r="E77" i="23"/>
  <c r="F77" i="23" s="1"/>
  <c r="G77" i="23" s="1"/>
  <c r="H77" i="23" s="1"/>
  <c r="E79" i="23"/>
  <c r="F79" i="23" s="1"/>
  <c r="G79" i="23" s="1"/>
  <c r="H79" i="23" s="1"/>
  <c r="E81" i="23"/>
  <c r="F81" i="23" s="1"/>
  <c r="G81" i="23" s="1"/>
  <c r="H81" i="23" s="1"/>
  <c r="E84" i="23"/>
  <c r="F84" i="23" s="1"/>
  <c r="G84" i="23" s="1"/>
  <c r="H84" i="23" s="1"/>
  <c r="E85" i="23"/>
  <c r="F85" i="23" s="1"/>
  <c r="G85" i="23" s="1"/>
  <c r="H85" i="23" s="1"/>
  <c r="E90" i="23"/>
  <c r="F90" i="23" s="1"/>
  <c r="G90" i="23" s="1"/>
  <c r="H90" i="23" s="1"/>
  <c r="E91" i="23"/>
  <c r="F91" i="23" s="1"/>
  <c r="G91" i="23" s="1"/>
  <c r="H91" i="23" s="1"/>
  <c r="E93" i="23"/>
  <c r="F93" i="23" s="1"/>
  <c r="G93" i="23" s="1"/>
  <c r="H93" i="23" s="1"/>
  <c r="E98" i="23"/>
  <c r="F98" i="23" s="1"/>
  <c r="G98" i="23" s="1"/>
  <c r="H98" i="23" s="1"/>
  <c r="E101" i="23"/>
  <c r="F101" i="23" s="1"/>
  <c r="G101" i="23" s="1"/>
  <c r="H101" i="23" s="1"/>
  <c r="E106" i="23"/>
  <c r="F106" i="23" s="1"/>
  <c r="G106" i="23" s="1"/>
  <c r="H106" i="23" s="1"/>
  <c r="E109" i="23"/>
  <c r="F109" i="23" s="1"/>
  <c r="G109" i="23" s="1"/>
  <c r="H109" i="23" s="1"/>
  <c r="E112" i="23"/>
  <c r="F112" i="23" s="1"/>
  <c r="G112" i="23" s="1"/>
  <c r="H112" i="23" s="1"/>
  <c r="E117" i="23"/>
  <c r="F117" i="23" s="1"/>
  <c r="G117" i="23" s="1"/>
  <c r="H117" i="23" s="1"/>
  <c r="E125" i="23"/>
  <c r="F125" i="23" s="1"/>
  <c r="G125" i="23" s="1"/>
  <c r="H125" i="23" s="1"/>
  <c r="E130" i="23"/>
  <c r="F130" i="23" s="1"/>
  <c r="G130" i="23" s="1"/>
  <c r="H130" i="23" s="1"/>
  <c r="E131" i="23"/>
  <c r="F131" i="23" s="1"/>
  <c r="G131" i="23" s="1"/>
  <c r="H131" i="23" s="1"/>
  <c r="E132" i="23"/>
  <c r="F132" i="23" s="1"/>
  <c r="G132" i="23" s="1"/>
  <c r="H132" i="23" s="1"/>
  <c r="E134" i="23"/>
  <c r="F134" i="23" s="1"/>
  <c r="G134" i="23" s="1"/>
  <c r="H134" i="23" s="1"/>
  <c r="E135" i="23"/>
  <c r="F135" i="23" s="1"/>
  <c r="G135" i="23" s="1"/>
  <c r="H135" i="23" s="1"/>
  <c r="E138" i="23"/>
  <c r="F138" i="23" s="1"/>
  <c r="G138" i="23" s="1"/>
  <c r="H138" i="23" s="1"/>
  <c r="E139" i="23"/>
  <c r="F139" i="23" s="1"/>
  <c r="G139" i="23" s="1"/>
  <c r="H139" i="23" s="1"/>
  <c r="E140" i="23"/>
  <c r="F140" i="23" s="1"/>
  <c r="G140" i="23" s="1"/>
  <c r="H140" i="23" s="1"/>
  <c r="E142" i="23"/>
  <c r="F142" i="23" s="1"/>
  <c r="G142" i="23" s="1"/>
  <c r="H142" i="23" s="1"/>
  <c r="E143" i="23"/>
  <c r="F143" i="23" s="1"/>
  <c r="G143" i="23" s="1"/>
  <c r="H143" i="23" s="1"/>
  <c r="E145" i="23"/>
  <c r="F145" i="23" s="1"/>
  <c r="G145" i="23" s="1"/>
  <c r="H145" i="23" s="1"/>
  <c r="E147" i="23"/>
  <c r="F147" i="23" s="1"/>
  <c r="G147" i="23" s="1"/>
  <c r="H147" i="23" s="1"/>
  <c r="E151" i="23"/>
  <c r="F151" i="23" s="1"/>
  <c r="G151" i="23" s="1"/>
  <c r="H151" i="23" s="1"/>
  <c r="E154" i="23"/>
  <c r="F154" i="23" s="1"/>
  <c r="G154" i="23" s="1"/>
  <c r="H154" i="23" s="1"/>
  <c r="E155" i="23"/>
  <c r="F155" i="23" s="1"/>
  <c r="G155" i="23" s="1"/>
  <c r="H155" i="23" s="1"/>
  <c r="E158" i="23"/>
  <c r="F158" i="23" s="1"/>
  <c r="G158" i="23" s="1"/>
  <c r="H158" i="23" s="1"/>
  <c r="E159" i="23"/>
  <c r="F159" i="23" s="1"/>
  <c r="G159" i="23" s="1"/>
  <c r="H159" i="23" s="1"/>
  <c r="E162" i="23"/>
  <c r="F162" i="23" s="1"/>
  <c r="G162" i="23" s="1"/>
  <c r="H162" i="23" s="1"/>
  <c r="E163" i="23"/>
  <c r="F163" i="23" s="1"/>
  <c r="G163" i="23" s="1"/>
  <c r="H163" i="23" s="1"/>
  <c r="E166" i="23"/>
  <c r="F166" i="23" s="1"/>
  <c r="G166" i="23" s="1"/>
  <c r="H166" i="23" s="1"/>
  <c r="E167" i="23"/>
  <c r="F167" i="23" s="1"/>
  <c r="G167" i="23" s="1"/>
  <c r="H167" i="23" s="1"/>
  <c r="E170" i="23"/>
  <c r="F170" i="23" s="1"/>
  <c r="G170" i="23" s="1"/>
  <c r="H170" i="23" s="1"/>
  <c r="E171" i="23"/>
  <c r="F171" i="23" s="1"/>
  <c r="G171" i="23" s="1"/>
  <c r="H171" i="23" s="1"/>
  <c r="E174" i="23"/>
  <c r="F174" i="23" s="1"/>
  <c r="G174" i="23" s="1"/>
  <c r="H174" i="23" s="1"/>
  <c r="E175" i="23"/>
  <c r="F175" i="23" s="1"/>
  <c r="G175" i="23" s="1"/>
  <c r="H175" i="23" s="1"/>
  <c r="E92" i="23"/>
  <c r="F92" i="23" s="1"/>
  <c r="G92" i="23" s="1"/>
  <c r="H92" i="23" s="1"/>
  <c r="E94" i="23"/>
  <c r="F94" i="23" s="1"/>
  <c r="G94" i="23" s="1"/>
  <c r="H94" i="23" s="1"/>
  <c r="E102" i="23"/>
  <c r="F102" i="23" s="1"/>
  <c r="G102" i="23" s="1"/>
  <c r="H102" i="23" s="1"/>
  <c r="E105" i="23"/>
  <c r="F105" i="23" s="1"/>
  <c r="G105" i="23" s="1"/>
  <c r="H105" i="23" s="1"/>
  <c r="E111" i="23"/>
  <c r="F111" i="23" s="1"/>
  <c r="G111" i="23" s="1"/>
  <c r="H111" i="23" s="1"/>
  <c r="E113" i="23"/>
  <c r="F113" i="23" s="1"/>
  <c r="G113" i="23" s="1"/>
  <c r="H113" i="23" s="1"/>
  <c r="E120" i="23"/>
  <c r="F120" i="23" s="1"/>
  <c r="G120" i="23" s="1"/>
  <c r="H120" i="23" s="1"/>
  <c r="E124" i="23"/>
  <c r="F124" i="23" s="1"/>
  <c r="G124" i="23" s="1"/>
  <c r="H124" i="23" s="1"/>
  <c r="E126" i="23"/>
  <c r="F126" i="23" s="1"/>
  <c r="G126" i="23" s="1"/>
  <c r="H126" i="23" s="1"/>
  <c r="E128" i="23"/>
  <c r="F128" i="23" s="1"/>
  <c r="G128" i="23" s="1"/>
  <c r="H128" i="23" s="1"/>
  <c r="E133" i="23"/>
  <c r="F133" i="23" s="1"/>
  <c r="G133" i="23" s="1"/>
  <c r="H133" i="23" s="1"/>
  <c r="E141" i="23"/>
  <c r="F141" i="23" s="1"/>
  <c r="G141" i="23" s="1"/>
  <c r="H141" i="23" s="1"/>
  <c r="E144" i="23"/>
  <c r="F144" i="23" s="1"/>
  <c r="G144" i="23" s="1"/>
  <c r="H144" i="23" s="1"/>
  <c r="E146" i="23"/>
  <c r="F146" i="23" s="1"/>
  <c r="G146" i="23" s="1"/>
  <c r="H146" i="23" s="1"/>
  <c r="E148" i="23"/>
  <c r="F148" i="23" s="1"/>
  <c r="G148" i="23" s="1"/>
  <c r="H148" i="23" s="1"/>
  <c r="E152" i="23"/>
  <c r="F152" i="23" s="1"/>
  <c r="G152" i="23" s="1"/>
  <c r="H152" i="23" s="1"/>
  <c r="E157" i="23"/>
  <c r="F157" i="23" s="1"/>
  <c r="G157" i="23" s="1"/>
  <c r="H157" i="23" s="1"/>
  <c r="E160" i="23"/>
  <c r="F160" i="23" s="1"/>
  <c r="G160" i="23" s="1"/>
  <c r="H160" i="23" s="1"/>
  <c r="E165" i="23"/>
  <c r="F165" i="23" s="1"/>
  <c r="G165" i="23" s="1"/>
  <c r="H165" i="23" s="1"/>
  <c r="E168" i="23"/>
  <c r="F168" i="23" s="1"/>
  <c r="G168" i="23" s="1"/>
  <c r="H168" i="23" s="1"/>
  <c r="E173" i="23"/>
  <c r="F173" i="23" s="1"/>
  <c r="G173" i="23" s="1"/>
  <c r="H173" i="23" s="1"/>
  <c r="E177" i="23"/>
  <c r="F177" i="23" s="1"/>
  <c r="G177" i="23" s="1"/>
  <c r="H177" i="23" s="1"/>
  <c r="E180" i="23"/>
  <c r="F180" i="23" s="1"/>
  <c r="G180" i="23" s="1"/>
  <c r="H180" i="23" s="1"/>
  <c r="E182" i="23"/>
  <c r="F182" i="23" s="1"/>
  <c r="G182" i="23" s="1"/>
  <c r="H182" i="23" s="1"/>
  <c r="E183" i="23"/>
  <c r="F183" i="23" s="1"/>
  <c r="G183" i="23" s="1"/>
  <c r="H183" i="23" s="1"/>
  <c r="E185" i="23"/>
  <c r="F185" i="23" s="1"/>
  <c r="G185" i="23" s="1"/>
  <c r="H185" i="23" s="1"/>
  <c r="E187" i="23"/>
  <c r="F187" i="23" s="1"/>
  <c r="G187" i="23" s="1"/>
  <c r="H187" i="23" s="1"/>
  <c r="E189" i="23"/>
  <c r="F189" i="23" s="1"/>
  <c r="G189" i="23" s="1"/>
  <c r="H189" i="23" s="1"/>
  <c r="E191" i="23"/>
  <c r="F191" i="23" s="1"/>
  <c r="G191" i="23" s="1"/>
  <c r="H191" i="23" s="1"/>
  <c r="E192" i="23"/>
  <c r="F192" i="23" s="1"/>
  <c r="G192" i="23" s="1"/>
  <c r="H192" i="23" s="1"/>
  <c r="E194" i="23"/>
  <c r="F194" i="23" s="1"/>
  <c r="G194" i="23" s="1"/>
  <c r="H194" i="23" s="1"/>
  <c r="E196" i="23"/>
  <c r="F196" i="23" s="1"/>
  <c r="G196" i="23" s="1"/>
  <c r="H196" i="23" s="1"/>
  <c r="E198" i="23"/>
  <c r="F198" i="23" s="1"/>
  <c r="G198" i="23" s="1"/>
  <c r="H198" i="23" s="1"/>
  <c r="E201" i="23"/>
  <c r="F201" i="23" s="1"/>
  <c r="G201" i="23" s="1"/>
  <c r="H201" i="23" s="1"/>
  <c r="E203" i="23"/>
  <c r="F203" i="23" s="1"/>
  <c r="G203" i="23" s="1"/>
  <c r="H203" i="23" s="1"/>
  <c r="E204" i="23"/>
  <c r="F204" i="23" s="1"/>
  <c r="G204" i="23" s="1"/>
  <c r="H204" i="23" s="1"/>
  <c r="E206" i="23"/>
  <c r="F206" i="23" s="1"/>
  <c r="G206" i="23" s="1"/>
  <c r="H206" i="23" s="1"/>
  <c r="E208" i="23"/>
  <c r="F208" i="23" s="1"/>
  <c r="G208" i="23" s="1"/>
  <c r="H208" i="23" s="1"/>
  <c r="E210" i="23"/>
  <c r="F210" i="23" s="1"/>
  <c r="G210" i="23" s="1"/>
  <c r="H210" i="23" s="1"/>
  <c r="E110" i="23"/>
  <c r="F110" i="23" s="1"/>
  <c r="G110" i="23" s="1"/>
  <c r="H110" i="23" s="1"/>
  <c r="E121" i="23"/>
  <c r="F121" i="23" s="1"/>
  <c r="G121" i="23" s="1"/>
  <c r="H121" i="23" s="1"/>
  <c r="E127" i="23"/>
  <c r="F127" i="23" s="1"/>
  <c r="G127" i="23" s="1"/>
  <c r="H127" i="23" s="1"/>
  <c r="E129" i="23"/>
  <c r="F129" i="23" s="1"/>
  <c r="G129" i="23" s="1"/>
  <c r="H129" i="23" s="1"/>
  <c r="E136" i="23"/>
  <c r="F136" i="23" s="1"/>
  <c r="G136" i="23" s="1"/>
  <c r="H136" i="23" s="1"/>
  <c r="E149" i="23"/>
  <c r="F149" i="23" s="1"/>
  <c r="G149" i="23" s="1"/>
  <c r="H149" i="23" s="1"/>
  <c r="E156" i="23"/>
  <c r="F156" i="23" s="1"/>
  <c r="G156" i="23" s="1"/>
  <c r="H156" i="23" s="1"/>
  <c r="E161" i="23"/>
  <c r="F161" i="23" s="1"/>
  <c r="G161" i="23" s="1"/>
  <c r="H161" i="23" s="1"/>
  <c r="E172" i="23"/>
  <c r="F172" i="23" s="1"/>
  <c r="G172" i="23" s="1"/>
  <c r="H172" i="23" s="1"/>
  <c r="E176" i="23"/>
  <c r="F176" i="23" s="1"/>
  <c r="G176" i="23" s="1"/>
  <c r="H176" i="23" s="1"/>
  <c r="E178" i="23"/>
  <c r="F178" i="23" s="1"/>
  <c r="G178" i="23" s="1"/>
  <c r="H178" i="23" s="1"/>
  <c r="E181" i="23"/>
  <c r="F181" i="23" s="1"/>
  <c r="G181" i="23" s="1"/>
  <c r="H181" i="23" s="1"/>
  <c r="E184" i="23"/>
  <c r="F184" i="23" s="1"/>
  <c r="G184" i="23" s="1"/>
  <c r="H184" i="23" s="1"/>
  <c r="E186" i="23"/>
  <c r="F186" i="23" s="1"/>
  <c r="G186" i="23" s="1"/>
  <c r="H186" i="23" s="1"/>
  <c r="E193" i="23"/>
  <c r="F193" i="23" s="1"/>
  <c r="G193" i="23" s="1"/>
  <c r="H193" i="23" s="1"/>
  <c r="E197" i="23"/>
  <c r="F197" i="23" s="1"/>
  <c r="G197" i="23" s="1"/>
  <c r="H197" i="23" s="1"/>
  <c r="E200" i="23"/>
  <c r="F200" i="23" s="1"/>
  <c r="G200" i="23" s="1"/>
  <c r="H200" i="23" s="1"/>
  <c r="E202" i="23"/>
  <c r="F202" i="23" s="1"/>
  <c r="G202" i="23" s="1"/>
  <c r="H202" i="23" s="1"/>
  <c r="E212" i="23"/>
  <c r="F212" i="23" s="1"/>
  <c r="G212" i="23" s="1"/>
  <c r="H212" i="23" s="1"/>
  <c r="E218" i="23"/>
  <c r="F218" i="23" s="1"/>
  <c r="G218" i="23" s="1"/>
  <c r="H218" i="23" s="1"/>
  <c r="E219" i="23"/>
  <c r="F219" i="23" s="1"/>
  <c r="G219" i="23" s="1"/>
  <c r="H219" i="23" s="1"/>
  <c r="E220" i="23"/>
  <c r="F220" i="23" s="1"/>
  <c r="G220" i="23" s="1"/>
  <c r="H220" i="23" s="1"/>
  <c r="E221" i="23"/>
  <c r="F221" i="23" s="1"/>
  <c r="G221" i="23" s="1"/>
  <c r="H221" i="23" s="1"/>
  <c r="E224" i="23"/>
  <c r="F224" i="23" s="1"/>
  <c r="G224" i="23" s="1"/>
  <c r="H224" i="23" s="1"/>
  <c r="E225" i="23"/>
  <c r="F225" i="23" s="1"/>
  <c r="G225" i="23" s="1"/>
  <c r="H225" i="23" s="1"/>
  <c r="E228" i="23"/>
  <c r="F228" i="23" s="1"/>
  <c r="G228" i="23" s="1"/>
  <c r="H228" i="23" s="1"/>
  <c r="E232" i="23"/>
  <c r="F232" i="23" s="1"/>
  <c r="G232" i="23" s="1"/>
  <c r="H232" i="23" s="1"/>
  <c r="E236" i="23"/>
  <c r="F236" i="23" s="1"/>
  <c r="G236" i="23" s="1"/>
  <c r="H236" i="23" s="1"/>
  <c r="E239" i="23"/>
  <c r="F239" i="23" s="1"/>
  <c r="G239" i="23" s="1"/>
  <c r="H239" i="23" s="1"/>
  <c r="E241" i="23"/>
  <c r="F241" i="23" s="1"/>
  <c r="G241" i="23" s="1"/>
  <c r="H241" i="23" s="1"/>
  <c r="E244" i="23"/>
  <c r="F244" i="23" s="1"/>
  <c r="G244" i="23" s="1"/>
  <c r="H244" i="23" s="1"/>
  <c r="E246" i="23"/>
  <c r="F246" i="23" s="1"/>
  <c r="G246" i="23" s="1"/>
  <c r="H246" i="23" s="1"/>
  <c r="E248" i="23"/>
  <c r="F248" i="23" s="1"/>
  <c r="G248" i="23" s="1"/>
  <c r="H248" i="23" s="1"/>
  <c r="E250" i="23"/>
  <c r="F250" i="23" s="1"/>
  <c r="G250" i="23" s="1"/>
  <c r="H250" i="23" s="1"/>
  <c r="E251" i="23"/>
  <c r="F251" i="23" s="1"/>
  <c r="G251" i="23" s="1"/>
  <c r="H251" i="23" s="1"/>
  <c r="E253" i="23"/>
  <c r="F253" i="23" s="1"/>
  <c r="G253" i="23" s="1"/>
  <c r="H253" i="23" s="1"/>
  <c r="E256" i="23"/>
  <c r="F256" i="23" s="1"/>
  <c r="G256" i="23" s="1"/>
  <c r="H256" i="23" s="1"/>
  <c r="E257" i="23"/>
  <c r="F257" i="23" s="1"/>
  <c r="G257" i="23" s="1"/>
  <c r="H257" i="23" s="1"/>
  <c r="E260" i="23"/>
  <c r="F260" i="23" s="1"/>
  <c r="G260" i="23" s="1"/>
  <c r="H260" i="23" s="1"/>
  <c r="E265" i="23"/>
  <c r="F265" i="23" s="1"/>
  <c r="G265" i="23" s="1"/>
  <c r="H265" i="23" s="1"/>
  <c r="E268" i="23"/>
  <c r="F268" i="23" s="1"/>
  <c r="G268" i="23" s="1"/>
  <c r="H268" i="23" s="1"/>
  <c r="E269" i="23"/>
  <c r="F269" i="23" s="1"/>
  <c r="G269" i="23" s="1"/>
  <c r="H269" i="23" s="1"/>
  <c r="E270" i="23"/>
  <c r="F270" i="23" s="1"/>
  <c r="G270" i="23" s="1"/>
  <c r="H270" i="23" s="1"/>
  <c r="E272" i="23"/>
  <c r="F272" i="23" s="1"/>
  <c r="G272" i="23" s="1"/>
  <c r="H272" i="23" s="1"/>
  <c r="E275" i="23"/>
  <c r="F275" i="23" s="1"/>
  <c r="G275" i="23" s="1"/>
  <c r="H275" i="23" s="1"/>
  <c r="E276" i="23"/>
  <c r="F276" i="23" s="1"/>
  <c r="G276" i="23" s="1"/>
  <c r="H276" i="23" s="1"/>
  <c r="E278" i="23"/>
  <c r="F278" i="23" s="1"/>
  <c r="G278" i="23" s="1"/>
  <c r="H278" i="23" s="1"/>
  <c r="E281" i="23"/>
  <c r="F281" i="23" s="1"/>
  <c r="G281" i="23" s="1"/>
  <c r="H281" i="23" s="1"/>
  <c r="E282" i="23"/>
  <c r="F282" i="23" s="1"/>
  <c r="G282" i="23" s="1"/>
  <c r="H282" i="23" s="1"/>
  <c r="E284" i="23"/>
  <c r="F284" i="23" s="1"/>
  <c r="G284" i="23" s="1"/>
  <c r="H284" i="23" s="1"/>
  <c r="E287" i="23"/>
  <c r="F287" i="23" s="1"/>
  <c r="G287" i="23" s="1"/>
  <c r="H287" i="23" s="1"/>
  <c r="E288" i="23"/>
  <c r="F288" i="23" s="1"/>
  <c r="G288" i="23" s="1"/>
  <c r="H288" i="23" s="1"/>
  <c r="E291" i="23"/>
  <c r="F291" i="23" s="1"/>
  <c r="G291" i="23" s="1"/>
  <c r="H291" i="23" s="1"/>
  <c r="E293" i="23"/>
  <c r="F293" i="23" s="1"/>
  <c r="G293" i="23" s="1"/>
  <c r="H293" i="23" s="1"/>
  <c r="E294" i="23"/>
  <c r="F294" i="23" s="1"/>
  <c r="G294" i="23" s="1"/>
  <c r="H294" i="23" s="1"/>
  <c r="E297" i="23"/>
  <c r="F297" i="23" s="1"/>
  <c r="G297" i="23" s="1"/>
  <c r="H297" i="23" s="1"/>
  <c r="E298" i="23"/>
  <c r="F298" i="23" s="1"/>
  <c r="G298" i="23" s="1"/>
  <c r="H298" i="23" s="1"/>
  <c r="E301" i="23"/>
  <c r="F301" i="23" s="1"/>
  <c r="G301" i="23" s="1"/>
  <c r="H301" i="23" s="1"/>
  <c r="E302" i="23"/>
  <c r="F302" i="23" s="1"/>
  <c r="G302" i="23" s="1"/>
  <c r="H302" i="23" s="1"/>
  <c r="E304" i="23"/>
  <c r="F304" i="23" s="1"/>
  <c r="G304" i="23" s="1"/>
  <c r="H304" i="23" s="1"/>
  <c r="E306" i="23"/>
  <c r="F306" i="23" s="1"/>
  <c r="G306" i="23" s="1"/>
  <c r="H306" i="23" s="1"/>
  <c r="E308" i="23"/>
  <c r="F308" i="23" s="1"/>
  <c r="G308" i="23" s="1"/>
  <c r="H308" i="23" s="1"/>
  <c r="E310" i="23"/>
  <c r="F310" i="23" s="1"/>
  <c r="G310" i="23" s="1"/>
  <c r="H310" i="23" s="1"/>
  <c r="E312" i="23"/>
  <c r="F312" i="23" s="1"/>
  <c r="G312" i="23" s="1"/>
  <c r="H312" i="23" s="1"/>
  <c r="E314" i="23"/>
  <c r="F314" i="23" s="1"/>
  <c r="G314" i="23" s="1"/>
  <c r="H314" i="23" s="1"/>
  <c r="E97" i="23"/>
  <c r="F97" i="23" s="1"/>
  <c r="G97" i="23" s="1"/>
  <c r="H97" i="23" s="1"/>
  <c r="E137" i="23"/>
  <c r="F137" i="23" s="1"/>
  <c r="G137" i="23" s="1"/>
  <c r="H137" i="23" s="1"/>
  <c r="E150" i="23"/>
  <c r="F150" i="23" s="1"/>
  <c r="G150" i="23" s="1"/>
  <c r="H150" i="23" s="1"/>
  <c r="E153" i="23"/>
  <c r="F153" i="23" s="1"/>
  <c r="G153" i="23" s="1"/>
  <c r="H153" i="23" s="1"/>
  <c r="E164" i="23"/>
  <c r="F164" i="23" s="1"/>
  <c r="G164" i="23" s="1"/>
  <c r="H164" i="23" s="1"/>
  <c r="E169" i="23"/>
  <c r="F169" i="23" s="1"/>
  <c r="G169" i="23" s="1"/>
  <c r="H169" i="23" s="1"/>
  <c r="E179" i="23"/>
  <c r="F179" i="23" s="1"/>
  <c r="G179" i="23" s="1"/>
  <c r="H179" i="23" s="1"/>
  <c r="E188" i="23"/>
  <c r="F188" i="23" s="1"/>
  <c r="G188" i="23" s="1"/>
  <c r="H188" i="23" s="1"/>
  <c r="E190" i="23"/>
  <c r="F190" i="23" s="1"/>
  <c r="G190" i="23" s="1"/>
  <c r="H190" i="23" s="1"/>
  <c r="E195" i="23"/>
  <c r="F195" i="23" s="1"/>
  <c r="G195" i="23" s="1"/>
  <c r="H195" i="23" s="1"/>
  <c r="E199" i="23"/>
  <c r="F199" i="23" s="1"/>
  <c r="G199" i="23" s="1"/>
  <c r="H199" i="23" s="1"/>
  <c r="E205" i="23"/>
  <c r="F205" i="23" s="1"/>
  <c r="G205" i="23" s="1"/>
  <c r="H205" i="23" s="1"/>
  <c r="E207" i="23"/>
  <c r="F207" i="23" s="1"/>
  <c r="G207" i="23" s="1"/>
  <c r="H207" i="23" s="1"/>
  <c r="E209" i="23"/>
  <c r="F209" i="23" s="1"/>
  <c r="G209" i="23" s="1"/>
  <c r="H209" i="23" s="1"/>
  <c r="E211" i="23"/>
  <c r="F211" i="23" s="1"/>
  <c r="G211" i="23" s="1"/>
  <c r="H211" i="23" s="1"/>
  <c r="E213" i="23"/>
  <c r="F213" i="23" s="1"/>
  <c r="G213" i="23" s="1"/>
  <c r="H213" i="23" s="1"/>
  <c r="E214" i="23"/>
  <c r="F214" i="23" s="1"/>
  <c r="G214" i="23" s="1"/>
  <c r="H214" i="23" s="1"/>
  <c r="E215" i="23"/>
  <c r="F215" i="23" s="1"/>
  <c r="G215" i="23" s="1"/>
  <c r="H215" i="23" s="1"/>
  <c r="E216" i="23"/>
  <c r="F216" i="23" s="1"/>
  <c r="G216" i="23" s="1"/>
  <c r="H216" i="23" s="1"/>
  <c r="E217" i="23"/>
  <c r="F217" i="23" s="1"/>
  <c r="G217" i="23" s="1"/>
  <c r="H217" i="23" s="1"/>
  <c r="E222" i="23"/>
  <c r="F222" i="23" s="1"/>
  <c r="G222" i="23" s="1"/>
  <c r="H222" i="23" s="1"/>
  <c r="E223" i="23"/>
  <c r="F223" i="23" s="1"/>
  <c r="G223" i="23" s="1"/>
  <c r="H223" i="23" s="1"/>
  <c r="E226" i="23"/>
  <c r="F226" i="23" s="1"/>
  <c r="G226" i="23" s="1"/>
  <c r="H226" i="23" s="1"/>
  <c r="E227" i="23"/>
  <c r="F227" i="23" s="1"/>
  <c r="G227" i="23" s="1"/>
  <c r="H227" i="23" s="1"/>
  <c r="E229" i="23"/>
  <c r="F229" i="23" s="1"/>
  <c r="G229" i="23" s="1"/>
  <c r="H229" i="23" s="1"/>
  <c r="E230" i="23"/>
  <c r="F230" i="23" s="1"/>
  <c r="G230" i="23" s="1"/>
  <c r="H230" i="23" s="1"/>
  <c r="E231" i="23"/>
  <c r="F231" i="23" s="1"/>
  <c r="G231" i="23" s="1"/>
  <c r="H231" i="23" s="1"/>
  <c r="E233" i="23"/>
  <c r="F233" i="23" s="1"/>
  <c r="G233" i="23" s="1"/>
  <c r="H233" i="23" s="1"/>
  <c r="E234" i="23"/>
  <c r="F234" i="23" s="1"/>
  <c r="G234" i="23" s="1"/>
  <c r="H234" i="23" s="1"/>
  <c r="E235" i="23"/>
  <c r="F235" i="23" s="1"/>
  <c r="G235" i="23" s="1"/>
  <c r="H235" i="23" s="1"/>
  <c r="E237" i="23"/>
  <c r="F237" i="23" s="1"/>
  <c r="G237" i="23" s="1"/>
  <c r="H237" i="23" s="1"/>
  <c r="E238" i="23"/>
  <c r="F238" i="23" s="1"/>
  <c r="G238" i="23" s="1"/>
  <c r="H238" i="23" s="1"/>
  <c r="E240" i="23"/>
  <c r="F240" i="23" s="1"/>
  <c r="G240" i="23" s="1"/>
  <c r="H240" i="23" s="1"/>
  <c r="E242" i="23"/>
  <c r="F242" i="23" s="1"/>
  <c r="G242" i="23" s="1"/>
  <c r="H242" i="23" s="1"/>
  <c r="E243" i="23"/>
  <c r="F243" i="23" s="1"/>
  <c r="G243" i="23" s="1"/>
  <c r="H243" i="23" s="1"/>
  <c r="E245" i="23"/>
  <c r="F245" i="23" s="1"/>
  <c r="G245" i="23" s="1"/>
  <c r="H245" i="23" s="1"/>
  <c r="E247" i="23"/>
  <c r="F247" i="23" s="1"/>
  <c r="G247" i="23" s="1"/>
  <c r="H247" i="23" s="1"/>
  <c r="E249" i="23"/>
  <c r="F249" i="23" s="1"/>
  <c r="G249" i="23" s="1"/>
  <c r="H249" i="23" s="1"/>
  <c r="E252" i="23"/>
  <c r="F252" i="23" s="1"/>
  <c r="G252" i="23" s="1"/>
  <c r="H252" i="23" s="1"/>
  <c r="E254" i="23"/>
  <c r="F254" i="23" s="1"/>
  <c r="G254" i="23" s="1"/>
  <c r="H254" i="23" s="1"/>
  <c r="E255" i="23"/>
  <c r="F255" i="23" s="1"/>
  <c r="G255" i="23" s="1"/>
  <c r="H255" i="23" s="1"/>
  <c r="E258" i="23"/>
  <c r="F258" i="23" s="1"/>
  <c r="G258" i="23" s="1"/>
  <c r="H258" i="23" s="1"/>
  <c r="E259" i="23"/>
  <c r="F259" i="23" s="1"/>
  <c r="G259" i="23" s="1"/>
  <c r="H259" i="23" s="1"/>
  <c r="E261" i="23"/>
  <c r="F261" i="23" s="1"/>
  <c r="G261" i="23" s="1"/>
  <c r="H261" i="23" s="1"/>
  <c r="E262" i="23"/>
  <c r="F262" i="23" s="1"/>
  <c r="G262" i="23" s="1"/>
  <c r="H262" i="23" s="1"/>
  <c r="E263" i="23"/>
  <c r="F263" i="23" s="1"/>
  <c r="G263" i="23" s="1"/>
  <c r="H263" i="23" s="1"/>
  <c r="E264" i="23"/>
  <c r="F264" i="23" s="1"/>
  <c r="G264" i="23" s="1"/>
  <c r="H264" i="23" s="1"/>
  <c r="E266" i="23"/>
  <c r="F266" i="23" s="1"/>
  <c r="G266" i="23" s="1"/>
  <c r="H266" i="23" s="1"/>
  <c r="E267" i="23"/>
  <c r="F267" i="23" s="1"/>
  <c r="G267" i="23" s="1"/>
  <c r="H267" i="23" s="1"/>
  <c r="E271" i="23"/>
  <c r="F271" i="23" s="1"/>
  <c r="G271" i="23" s="1"/>
  <c r="H271" i="23" s="1"/>
  <c r="E273" i="23"/>
  <c r="F273" i="23" s="1"/>
  <c r="G273" i="23" s="1"/>
  <c r="H273" i="23" s="1"/>
  <c r="E274" i="23"/>
  <c r="F274" i="23" s="1"/>
  <c r="G274" i="23" s="1"/>
  <c r="H274" i="23" s="1"/>
  <c r="E277" i="23"/>
  <c r="F277" i="23" s="1"/>
  <c r="G277" i="23" s="1"/>
  <c r="H277" i="23" s="1"/>
  <c r="E279" i="23"/>
  <c r="F279" i="23" s="1"/>
  <c r="G279" i="23" s="1"/>
  <c r="H279" i="23" s="1"/>
  <c r="E280" i="23"/>
  <c r="F280" i="23" s="1"/>
  <c r="G280" i="23" s="1"/>
  <c r="H280" i="23" s="1"/>
  <c r="E283" i="23"/>
  <c r="F283" i="23" s="1"/>
  <c r="G283" i="23" s="1"/>
  <c r="H283" i="23" s="1"/>
  <c r="E285" i="23"/>
  <c r="F285" i="23" s="1"/>
  <c r="G285" i="23" s="1"/>
  <c r="H285" i="23" s="1"/>
  <c r="E286" i="23"/>
  <c r="F286" i="23" s="1"/>
  <c r="G286" i="23" s="1"/>
  <c r="H286" i="23" s="1"/>
  <c r="E289" i="23"/>
  <c r="F289" i="23" s="1"/>
  <c r="G289" i="23" s="1"/>
  <c r="H289" i="23" s="1"/>
  <c r="E290" i="23"/>
  <c r="F290" i="23" s="1"/>
  <c r="G290" i="23" s="1"/>
  <c r="H290" i="23" s="1"/>
  <c r="E292" i="23"/>
  <c r="F292" i="23" s="1"/>
  <c r="G292" i="23" s="1"/>
  <c r="H292" i="23" s="1"/>
  <c r="E295" i="23"/>
  <c r="F295" i="23" s="1"/>
  <c r="G295" i="23" s="1"/>
  <c r="H295" i="23" s="1"/>
  <c r="E296" i="23"/>
  <c r="F296" i="23" s="1"/>
  <c r="G296" i="23" s="1"/>
  <c r="H296" i="23" s="1"/>
  <c r="E299" i="23"/>
  <c r="F299" i="23" s="1"/>
  <c r="G299" i="23" s="1"/>
  <c r="H299" i="23" s="1"/>
  <c r="E300" i="23"/>
  <c r="F300" i="23" s="1"/>
  <c r="G300" i="23" s="1"/>
  <c r="H300" i="23" s="1"/>
  <c r="E303" i="23"/>
  <c r="F303" i="23" s="1"/>
  <c r="G303" i="23" s="1"/>
  <c r="H303" i="23" s="1"/>
  <c r="E305" i="23"/>
  <c r="F305" i="23" s="1"/>
  <c r="G305" i="23" s="1"/>
  <c r="H305" i="23" s="1"/>
  <c r="E307" i="23"/>
  <c r="F307" i="23" s="1"/>
  <c r="G307" i="23" s="1"/>
  <c r="H307" i="23" s="1"/>
  <c r="E309" i="23"/>
  <c r="F309" i="23" s="1"/>
  <c r="G309" i="23" s="1"/>
  <c r="H309" i="23" s="1"/>
  <c r="E311" i="23"/>
  <c r="F311" i="23" s="1"/>
  <c r="G311" i="23" s="1"/>
  <c r="H311" i="23" s="1"/>
  <c r="E313" i="23"/>
  <c r="F313" i="23" s="1"/>
  <c r="G313" i="23" s="1"/>
  <c r="H313" i="23" s="1"/>
  <c r="E315" i="23"/>
  <c r="F315" i="23" s="1"/>
  <c r="G315" i="23" s="1"/>
  <c r="H315" i="23" s="1"/>
  <c r="E316" i="23"/>
  <c r="F316" i="23" s="1"/>
  <c r="G316" i="23" s="1"/>
  <c r="H316" i="23" s="1"/>
  <c r="E319" i="23"/>
  <c r="F319" i="23" s="1"/>
  <c r="G319" i="23" s="1"/>
  <c r="H319" i="23" s="1"/>
  <c r="E320" i="23"/>
  <c r="F320" i="23" s="1"/>
  <c r="G320" i="23" s="1"/>
  <c r="H320" i="23" s="1"/>
  <c r="E321" i="23"/>
  <c r="F321" i="23" s="1"/>
  <c r="G321" i="23" s="1"/>
  <c r="H321" i="23" s="1"/>
  <c r="E317" i="23"/>
  <c r="F317" i="23" s="1"/>
  <c r="G317" i="23" s="1"/>
  <c r="H317" i="23" s="1"/>
  <c r="E318" i="23"/>
  <c r="F318" i="23" s="1"/>
  <c r="G318" i="23" s="1"/>
  <c r="H318" i="23" s="1"/>
  <c r="E322" i="23"/>
  <c r="F322" i="23" s="1"/>
  <c r="G322" i="23" s="1"/>
  <c r="H322" i="23" s="1"/>
  <c r="E23" i="23"/>
  <c r="I24" i="23"/>
  <c r="J24" i="23" s="1"/>
  <c r="I25" i="23"/>
  <c r="J25" i="23" s="1"/>
  <c r="I27" i="23"/>
  <c r="J27" i="23" s="1"/>
  <c r="I28" i="23"/>
  <c r="J28" i="23" s="1"/>
  <c r="I29" i="23"/>
  <c r="J29" i="23" s="1"/>
  <c r="I26" i="23"/>
  <c r="J26" i="23" s="1"/>
  <c r="I31" i="23"/>
  <c r="J31" i="23" s="1"/>
  <c r="I32" i="23"/>
  <c r="J32" i="23" s="1"/>
  <c r="I33" i="23"/>
  <c r="J33" i="23" s="1"/>
  <c r="I35" i="23"/>
  <c r="J35" i="23" s="1"/>
  <c r="I36" i="23"/>
  <c r="J36" i="23" s="1"/>
  <c r="I37" i="23"/>
  <c r="J37" i="23" s="1"/>
  <c r="I42" i="23"/>
  <c r="J42" i="23" s="1"/>
  <c r="I38" i="23"/>
  <c r="J38" i="23" s="1"/>
  <c r="I39" i="23"/>
  <c r="J39" i="23" s="1"/>
  <c r="I41" i="23"/>
  <c r="J41" i="23" s="1"/>
  <c r="I43" i="23"/>
  <c r="J43" i="23" s="1"/>
  <c r="I44" i="23"/>
  <c r="J44" i="23" s="1"/>
  <c r="I46" i="23"/>
  <c r="J46" i="23" s="1"/>
  <c r="I47" i="23"/>
  <c r="J47" i="23" s="1"/>
  <c r="I48" i="23"/>
  <c r="J48" i="23" s="1"/>
  <c r="I50" i="23"/>
  <c r="J50" i="23" s="1"/>
  <c r="I53" i="23"/>
  <c r="J53" i="23" s="1"/>
  <c r="I54" i="23"/>
  <c r="J54" i="23" s="1"/>
  <c r="I57" i="23"/>
  <c r="J57" i="23" s="1"/>
  <c r="I61" i="23"/>
  <c r="J61" i="23" s="1"/>
  <c r="I63" i="23"/>
  <c r="J63" i="23" s="1"/>
  <c r="I64" i="23"/>
  <c r="J64" i="23" s="1"/>
  <c r="I66" i="23"/>
  <c r="J66" i="23" s="1"/>
  <c r="I67" i="23"/>
  <c r="J67" i="23" s="1"/>
  <c r="I45" i="23"/>
  <c r="J45" i="23" s="1"/>
  <c r="I52" i="23"/>
  <c r="J52" i="23" s="1"/>
  <c r="I55" i="23"/>
  <c r="J55" i="23" s="1"/>
  <c r="I58" i="23"/>
  <c r="J58" i="23" s="1"/>
  <c r="I59" i="23"/>
  <c r="J59" i="23" s="1"/>
  <c r="I62" i="23"/>
  <c r="J62" i="23" s="1"/>
  <c r="I65" i="23"/>
  <c r="J65" i="23" s="1"/>
  <c r="I30" i="23"/>
  <c r="J30" i="23" s="1"/>
  <c r="I56" i="23"/>
  <c r="J56" i="23" s="1"/>
  <c r="I60" i="23"/>
  <c r="J60" i="23" s="1"/>
  <c r="I69" i="23"/>
  <c r="J69" i="23" s="1"/>
  <c r="I70" i="23"/>
  <c r="J70" i="23" s="1"/>
  <c r="I71" i="23"/>
  <c r="J71" i="23" s="1"/>
  <c r="I72" i="23"/>
  <c r="J72" i="23" s="1"/>
  <c r="I80" i="23"/>
  <c r="J80" i="23" s="1"/>
  <c r="I81" i="23"/>
  <c r="J81" i="23" s="1"/>
  <c r="I82" i="23"/>
  <c r="J82" i="23" s="1"/>
  <c r="I83" i="23"/>
  <c r="J83" i="23" s="1"/>
  <c r="I84" i="23"/>
  <c r="J84" i="23" s="1"/>
  <c r="I85" i="23"/>
  <c r="J85" i="23" s="1"/>
  <c r="I86" i="23"/>
  <c r="J86" i="23" s="1"/>
  <c r="I88" i="23"/>
  <c r="J88" i="23" s="1"/>
  <c r="I91" i="23"/>
  <c r="J91" i="23" s="1"/>
  <c r="I93" i="23"/>
  <c r="J93" i="23" s="1"/>
  <c r="I96" i="23"/>
  <c r="J96" i="23" s="1"/>
  <c r="I97" i="23"/>
  <c r="J97" i="23" s="1"/>
  <c r="I101" i="23"/>
  <c r="J101" i="23" s="1"/>
  <c r="I104" i="23"/>
  <c r="J104" i="23" s="1"/>
  <c r="I105" i="23"/>
  <c r="J105" i="23" s="1"/>
  <c r="I109" i="23"/>
  <c r="J109" i="23" s="1"/>
  <c r="I111" i="23"/>
  <c r="J111" i="23" s="1"/>
  <c r="I113" i="23"/>
  <c r="J113" i="23" s="1"/>
  <c r="I114" i="23"/>
  <c r="J114" i="23" s="1"/>
  <c r="I115" i="23"/>
  <c r="J115" i="23" s="1"/>
  <c r="I116" i="23"/>
  <c r="J116" i="23" s="1"/>
  <c r="I117" i="23"/>
  <c r="J117" i="23" s="1"/>
  <c r="I118" i="23"/>
  <c r="J118" i="23" s="1"/>
  <c r="I119" i="23"/>
  <c r="J119" i="23" s="1"/>
  <c r="I120" i="23"/>
  <c r="J120" i="23" s="1"/>
  <c r="I121" i="23"/>
  <c r="J121" i="23" s="1"/>
  <c r="I122" i="23"/>
  <c r="J122" i="23" s="1"/>
  <c r="I123" i="23"/>
  <c r="J123" i="23" s="1"/>
  <c r="I34" i="23"/>
  <c r="J34" i="23" s="1"/>
  <c r="I40" i="23"/>
  <c r="J40" i="23" s="1"/>
  <c r="I49" i="23"/>
  <c r="J49" i="23" s="1"/>
  <c r="I51" i="23"/>
  <c r="J51" i="23" s="1"/>
  <c r="I68" i="23"/>
  <c r="J68" i="23" s="1"/>
  <c r="I73" i="23"/>
  <c r="J73" i="23" s="1"/>
  <c r="I74" i="23"/>
  <c r="J74" i="23" s="1"/>
  <c r="I75" i="23"/>
  <c r="J75" i="23" s="1"/>
  <c r="I76" i="23"/>
  <c r="J76" i="23" s="1"/>
  <c r="I77" i="23"/>
  <c r="J77" i="23" s="1"/>
  <c r="I78" i="23"/>
  <c r="J78" i="23" s="1"/>
  <c r="I79" i="23"/>
  <c r="J79" i="23" s="1"/>
  <c r="I87" i="23"/>
  <c r="J87" i="23" s="1"/>
  <c r="I89" i="23"/>
  <c r="J89" i="23" s="1"/>
  <c r="I90" i="23"/>
  <c r="J90" i="23" s="1"/>
  <c r="I92" i="23"/>
  <c r="J92" i="23" s="1"/>
  <c r="I94" i="23"/>
  <c r="J94" i="23" s="1"/>
  <c r="I95" i="23"/>
  <c r="J95" i="23" s="1"/>
  <c r="I99" i="23"/>
  <c r="J99" i="23" s="1"/>
  <c r="I102" i="23"/>
  <c r="J102" i="23" s="1"/>
  <c r="I107" i="23"/>
  <c r="J107" i="23" s="1"/>
  <c r="I110" i="23"/>
  <c r="J110" i="23" s="1"/>
  <c r="I127" i="23"/>
  <c r="J127" i="23" s="1"/>
  <c r="I129" i="23"/>
  <c r="J129" i="23" s="1"/>
  <c r="I130" i="23"/>
  <c r="J130" i="23" s="1"/>
  <c r="I131" i="23"/>
  <c r="J131" i="23" s="1"/>
  <c r="I132" i="23"/>
  <c r="J132" i="23" s="1"/>
  <c r="I133" i="23"/>
  <c r="J133" i="23" s="1"/>
  <c r="I134" i="23"/>
  <c r="J134" i="23" s="1"/>
  <c r="I135" i="23"/>
  <c r="J135" i="23" s="1"/>
  <c r="I136" i="23"/>
  <c r="J136" i="23" s="1"/>
  <c r="I137" i="23"/>
  <c r="J137" i="23" s="1"/>
  <c r="I138" i="23"/>
  <c r="J138" i="23" s="1"/>
  <c r="I139" i="23"/>
  <c r="J139" i="23" s="1"/>
  <c r="I140" i="23"/>
  <c r="J140" i="23" s="1"/>
  <c r="I141" i="23"/>
  <c r="J141" i="23" s="1"/>
  <c r="I142" i="23"/>
  <c r="J142" i="23" s="1"/>
  <c r="I144" i="23"/>
  <c r="J144" i="23" s="1"/>
  <c r="I146" i="23"/>
  <c r="J146" i="23" s="1"/>
  <c r="I148" i="23"/>
  <c r="J148" i="23" s="1"/>
  <c r="I150" i="23"/>
  <c r="J150" i="23" s="1"/>
  <c r="I153" i="23"/>
  <c r="J153" i="23" s="1"/>
  <c r="I154" i="23"/>
  <c r="J154" i="23" s="1"/>
  <c r="I157" i="23"/>
  <c r="J157" i="23" s="1"/>
  <c r="I158" i="23"/>
  <c r="J158" i="23" s="1"/>
  <c r="I161" i="23"/>
  <c r="J161" i="23" s="1"/>
  <c r="I162" i="23"/>
  <c r="J162" i="23" s="1"/>
  <c r="I165" i="23"/>
  <c r="J165" i="23" s="1"/>
  <c r="I166" i="23"/>
  <c r="J166" i="23" s="1"/>
  <c r="I169" i="23"/>
  <c r="J169" i="23" s="1"/>
  <c r="I170" i="23"/>
  <c r="J170" i="23" s="1"/>
  <c r="I173" i="23"/>
  <c r="J173" i="23" s="1"/>
  <c r="I174" i="23"/>
  <c r="J174" i="23" s="1"/>
  <c r="I175" i="23"/>
  <c r="J175" i="23" s="1"/>
  <c r="I98" i="23"/>
  <c r="J98" i="23" s="1"/>
  <c r="I103" i="23"/>
  <c r="J103" i="23" s="1"/>
  <c r="I108" i="23"/>
  <c r="J108" i="23" s="1"/>
  <c r="I112" i="23"/>
  <c r="J112" i="23" s="1"/>
  <c r="I125" i="23"/>
  <c r="J125" i="23" s="1"/>
  <c r="I143" i="23"/>
  <c r="J143" i="23" s="1"/>
  <c r="I145" i="23"/>
  <c r="J145" i="23" s="1"/>
  <c r="I147" i="23"/>
  <c r="J147" i="23" s="1"/>
  <c r="I149" i="23"/>
  <c r="J149" i="23" s="1"/>
  <c r="I151" i="23"/>
  <c r="J151" i="23" s="1"/>
  <c r="I156" i="23"/>
  <c r="J156" i="23" s="1"/>
  <c r="I159" i="23"/>
  <c r="J159" i="23" s="1"/>
  <c r="I164" i="23"/>
  <c r="J164" i="23" s="1"/>
  <c r="I167" i="23"/>
  <c r="J167" i="23" s="1"/>
  <c r="I172" i="23"/>
  <c r="J172" i="23" s="1"/>
  <c r="I180" i="23"/>
  <c r="J180" i="23" s="1"/>
  <c r="I181" i="23"/>
  <c r="J181" i="23" s="1"/>
  <c r="I182" i="23"/>
  <c r="J182" i="23" s="1"/>
  <c r="I183" i="23"/>
  <c r="J183" i="23" s="1"/>
  <c r="I184" i="23"/>
  <c r="J184" i="23" s="1"/>
  <c r="I188" i="23"/>
  <c r="J188" i="23" s="1"/>
  <c r="I193" i="23"/>
  <c r="J193" i="23" s="1"/>
  <c r="I194" i="23"/>
  <c r="J194" i="23" s="1"/>
  <c r="I196" i="23"/>
  <c r="J196" i="23" s="1"/>
  <c r="I197" i="23"/>
  <c r="J197" i="23" s="1"/>
  <c r="I198" i="23"/>
  <c r="J198" i="23" s="1"/>
  <c r="I199" i="23"/>
  <c r="J199" i="23" s="1"/>
  <c r="I200" i="23"/>
  <c r="J200" i="23" s="1"/>
  <c r="I203" i="23"/>
  <c r="J203" i="23" s="1"/>
  <c r="I204" i="23"/>
  <c r="J204" i="23" s="1"/>
  <c r="I206" i="23"/>
  <c r="J206" i="23" s="1"/>
  <c r="I207" i="23"/>
  <c r="J207" i="23" s="1"/>
  <c r="I208" i="23"/>
  <c r="J208" i="23" s="1"/>
  <c r="I210" i="23"/>
  <c r="J210" i="23" s="1"/>
  <c r="I211" i="23"/>
  <c r="J211" i="23" s="1"/>
  <c r="I212" i="23"/>
  <c r="J212" i="23" s="1"/>
  <c r="I106" i="23"/>
  <c r="J106" i="23" s="1"/>
  <c r="I124" i="23"/>
  <c r="J124" i="23" s="1"/>
  <c r="I126" i="23"/>
  <c r="J126" i="23" s="1"/>
  <c r="I128" i="23"/>
  <c r="J128" i="23" s="1"/>
  <c r="I160" i="23"/>
  <c r="J160" i="23" s="1"/>
  <c r="I163" i="23"/>
  <c r="J163" i="23" s="1"/>
  <c r="I177" i="23"/>
  <c r="J177" i="23" s="1"/>
  <c r="I179" i="23"/>
  <c r="J179" i="23" s="1"/>
  <c r="I185" i="23"/>
  <c r="J185" i="23" s="1"/>
  <c r="I190" i="23"/>
  <c r="J190" i="23" s="1"/>
  <c r="I191" i="23"/>
  <c r="J191" i="23" s="1"/>
  <c r="I195" i="23"/>
  <c r="J195" i="23" s="1"/>
  <c r="I201" i="23"/>
  <c r="J201" i="23" s="1"/>
  <c r="I205" i="23"/>
  <c r="J205" i="23" s="1"/>
  <c r="I209" i="23"/>
  <c r="J209" i="23" s="1"/>
  <c r="I214" i="23"/>
  <c r="J214" i="23" s="1"/>
  <c r="I215" i="23"/>
  <c r="J215" i="23" s="1"/>
  <c r="I216" i="23"/>
  <c r="J216" i="23" s="1"/>
  <c r="I221" i="23"/>
  <c r="J221" i="23" s="1"/>
  <c r="I222" i="23"/>
  <c r="J222" i="23" s="1"/>
  <c r="I224" i="23"/>
  <c r="J224" i="23" s="1"/>
  <c r="I225" i="23"/>
  <c r="J225" i="23" s="1"/>
  <c r="I229" i="23"/>
  <c r="J229" i="23" s="1"/>
  <c r="I230" i="23"/>
  <c r="J230" i="23" s="1"/>
  <c r="I233" i="23"/>
  <c r="J233" i="23" s="1"/>
  <c r="I234" i="23"/>
  <c r="J234" i="23" s="1"/>
  <c r="I237" i="23"/>
  <c r="J237" i="23" s="1"/>
  <c r="I238" i="23"/>
  <c r="J238" i="23" s="1"/>
  <c r="I242" i="23"/>
  <c r="J242" i="23" s="1"/>
  <c r="I243" i="23"/>
  <c r="J243" i="23" s="1"/>
  <c r="I244" i="23"/>
  <c r="J244" i="23" s="1"/>
  <c r="I245" i="23"/>
  <c r="J245" i="23" s="1"/>
  <c r="I247" i="23"/>
  <c r="J247" i="23" s="1"/>
  <c r="I248" i="23"/>
  <c r="J248" i="23" s="1"/>
  <c r="I249" i="23"/>
  <c r="J249" i="23" s="1"/>
  <c r="I254" i="23"/>
  <c r="J254" i="23" s="1"/>
  <c r="I255" i="23"/>
  <c r="J255" i="23" s="1"/>
  <c r="I256" i="23"/>
  <c r="J256" i="23" s="1"/>
  <c r="I257" i="23"/>
  <c r="J257" i="23" s="1"/>
  <c r="I259" i="23"/>
  <c r="J259" i="23" s="1"/>
  <c r="I260" i="23"/>
  <c r="J260" i="23" s="1"/>
  <c r="I261" i="23"/>
  <c r="J261" i="23" s="1"/>
  <c r="I262" i="23"/>
  <c r="J262" i="23" s="1"/>
  <c r="I263" i="23"/>
  <c r="J263" i="23" s="1"/>
  <c r="I265" i="23"/>
  <c r="J265" i="23" s="1"/>
  <c r="I266" i="23"/>
  <c r="J266" i="23" s="1"/>
  <c r="I273" i="23"/>
  <c r="J273" i="23" s="1"/>
  <c r="I274" i="23"/>
  <c r="J274" i="23" s="1"/>
  <c r="I275" i="23"/>
  <c r="J275" i="23" s="1"/>
  <c r="I277" i="23"/>
  <c r="J277" i="23" s="1"/>
  <c r="I280" i="23"/>
  <c r="J280" i="23" s="1"/>
  <c r="I285" i="23"/>
  <c r="J285" i="23" s="1"/>
  <c r="I286" i="23"/>
  <c r="J286" i="23" s="1"/>
  <c r="I287" i="23"/>
  <c r="J287" i="23" s="1"/>
  <c r="I289" i="23"/>
  <c r="J289" i="23" s="1"/>
  <c r="I290" i="23"/>
  <c r="J290" i="23" s="1"/>
  <c r="I291" i="23"/>
  <c r="J291" i="23" s="1"/>
  <c r="I292" i="23"/>
  <c r="J292" i="23" s="1"/>
  <c r="I296" i="23"/>
  <c r="J296" i="23" s="1"/>
  <c r="I300" i="23"/>
  <c r="J300" i="23" s="1"/>
  <c r="I305" i="23"/>
  <c r="J305" i="23" s="1"/>
  <c r="I309" i="23"/>
  <c r="J309" i="23" s="1"/>
  <c r="I313" i="23"/>
  <c r="J313" i="23" s="1"/>
  <c r="I100" i="23"/>
  <c r="J100" i="23" s="1"/>
  <c r="I152" i="23"/>
  <c r="J152" i="23" s="1"/>
  <c r="I155" i="23"/>
  <c r="J155" i="23" s="1"/>
  <c r="I168" i="23"/>
  <c r="J168" i="23" s="1"/>
  <c r="I171" i="23"/>
  <c r="J171" i="23" s="1"/>
  <c r="I176" i="23"/>
  <c r="J176" i="23" s="1"/>
  <c r="I178" i="23"/>
  <c r="J178" i="23" s="1"/>
  <c r="I186" i="23"/>
  <c r="J186" i="23" s="1"/>
  <c r="I187" i="23"/>
  <c r="J187" i="23" s="1"/>
  <c r="I189" i="23"/>
  <c r="J189" i="23" s="1"/>
  <c r="I192" i="23"/>
  <c r="J192" i="23" s="1"/>
  <c r="I202" i="23"/>
  <c r="J202" i="23" s="1"/>
  <c r="I213" i="23"/>
  <c r="J213" i="23" s="1"/>
  <c r="I217" i="23"/>
  <c r="J217" i="23" s="1"/>
  <c r="I218" i="23"/>
  <c r="J218" i="23" s="1"/>
  <c r="I219" i="23"/>
  <c r="J219" i="23" s="1"/>
  <c r="I220" i="23"/>
  <c r="J220" i="23" s="1"/>
  <c r="I223" i="23"/>
  <c r="J223" i="23" s="1"/>
  <c r="I226" i="23"/>
  <c r="J226" i="23" s="1"/>
  <c r="I227" i="23"/>
  <c r="J227" i="23" s="1"/>
  <c r="I228" i="23"/>
  <c r="J228" i="23" s="1"/>
  <c r="I231" i="23"/>
  <c r="J231" i="23" s="1"/>
  <c r="I232" i="23"/>
  <c r="J232" i="23" s="1"/>
  <c r="I235" i="23"/>
  <c r="J235" i="23" s="1"/>
  <c r="I236" i="23"/>
  <c r="J236" i="23" s="1"/>
  <c r="I239" i="23"/>
  <c r="J239" i="23" s="1"/>
  <c r="I240" i="23"/>
  <c r="J240" i="23" s="1"/>
  <c r="I241" i="23"/>
  <c r="J241" i="23" s="1"/>
  <c r="I246" i="23"/>
  <c r="J246" i="23" s="1"/>
  <c r="I250" i="23"/>
  <c r="J250" i="23" s="1"/>
  <c r="I251" i="23"/>
  <c r="J251" i="23" s="1"/>
  <c r="I252" i="23"/>
  <c r="J252" i="23" s="1"/>
  <c r="I253" i="23"/>
  <c r="J253" i="23" s="1"/>
  <c r="I258" i="23"/>
  <c r="J258" i="23" s="1"/>
  <c r="I264" i="23"/>
  <c r="J264" i="23" s="1"/>
  <c r="I267" i="23"/>
  <c r="J267" i="23" s="1"/>
  <c r="I268" i="23"/>
  <c r="J268" i="23" s="1"/>
  <c r="I269" i="23"/>
  <c r="J269" i="23" s="1"/>
  <c r="I270" i="23"/>
  <c r="J270" i="23" s="1"/>
  <c r="I271" i="23"/>
  <c r="J271" i="23" s="1"/>
  <c r="I272" i="23"/>
  <c r="J272" i="23" s="1"/>
  <c r="I276" i="23"/>
  <c r="J276" i="23" s="1"/>
  <c r="I278" i="23"/>
  <c r="J278" i="23" s="1"/>
  <c r="I279" i="23"/>
  <c r="J279" i="23" s="1"/>
  <c r="I281" i="23"/>
  <c r="J281" i="23" s="1"/>
  <c r="I282" i="23"/>
  <c r="J282" i="23" s="1"/>
  <c r="I283" i="23"/>
  <c r="J283" i="23" s="1"/>
  <c r="I284" i="23"/>
  <c r="J284" i="23" s="1"/>
  <c r="I288" i="23"/>
  <c r="J288" i="23" s="1"/>
  <c r="I293" i="23"/>
  <c r="J293" i="23" s="1"/>
  <c r="I294" i="23"/>
  <c r="J294" i="23" s="1"/>
  <c r="I295" i="23"/>
  <c r="J295" i="23" s="1"/>
  <c r="I297" i="23"/>
  <c r="J297" i="23" s="1"/>
  <c r="I298" i="23"/>
  <c r="J298" i="23" s="1"/>
  <c r="I299" i="23"/>
  <c r="J299" i="23" s="1"/>
  <c r="I301" i="23"/>
  <c r="J301" i="23" s="1"/>
  <c r="I302" i="23"/>
  <c r="J302" i="23" s="1"/>
  <c r="I303" i="23"/>
  <c r="J303" i="23" s="1"/>
  <c r="I304" i="23"/>
  <c r="J304" i="23" s="1"/>
  <c r="I306" i="23"/>
  <c r="J306" i="23" s="1"/>
  <c r="I307" i="23"/>
  <c r="J307" i="23" s="1"/>
  <c r="I308" i="23"/>
  <c r="J308" i="23" s="1"/>
  <c r="I310" i="23"/>
  <c r="J310" i="23" s="1"/>
  <c r="I311" i="23"/>
  <c r="J311" i="23" s="1"/>
  <c r="I312" i="23"/>
  <c r="J312" i="23" s="1"/>
  <c r="I314" i="23"/>
  <c r="J314" i="23" s="1"/>
  <c r="I315" i="23"/>
  <c r="J315" i="23" s="1"/>
  <c r="I317" i="23"/>
  <c r="J317" i="23" s="1"/>
  <c r="I23" i="23"/>
  <c r="I316" i="23"/>
  <c r="J316" i="23" s="1"/>
  <c r="I319" i="23"/>
  <c r="J319" i="23" s="1"/>
  <c r="I321" i="23"/>
  <c r="J321" i="23" s="1"/>
  <c r="I322" i="23"/>
  <c r="J322" i="23" s="1"/>
  <c r="I318" i="23"/>
  <c r="J318" i="23" s="1"/>
  <c r="I320" i="23"/>
  <c r="J320" i="23" s="1"/>
  <c r="M25" i="23"/>
  <c r="N25" i="23" s="1"/>
  <c r="O25" i="23" s="1"/>
  <c r="P25" i="23" s="1"/>
  <c r="M27" i="23"/>
  <c r="N27" i="23" s="1"/>
  <c r="O27" i="23" s="1"/>
  <c r="P27" i="23" s="1"/>
  <c r="M29" i="23"/>
  <c r="N29" i="23" s="1"/>
  <c r="O29" i="23" s="1"/>
  <c r="P29" i="23" s="1"/>
  <c r="M24" i="23"/>
  <c r="N24" i="23" s="1"/>
  <c r="O24" i="23" s="1"/>
  <c r="P24" i="23" s="1"/>
  <c r="M26" i="23"/>
  <c r="N26" i="23" s="1"/>
  <c r="O26" i="23" s="1"/>
  <c r="P26" i="23" s="1"/>
  <c r="M31" i="23"/>
  <c r="N31" i="23" s="1"/>
  <c r="O31" i="23" s="1"/>
  <c r="P31" i="23" s="1"/>
  <c r="M33" i="23"/>
  <c r="N33" i="23" s="1"/>
  <c r="O33" i="23" s="1"/>
  <c r="P33" i="23" s="1"/>
  <c r="M35" i="23"/>
  <c r="N35" i="23" s="1"/>
  <c r="O35" i="23" s="1"/>
  <c r="P35" i="23" s="1"/>
  <c r="M36" i="23"/>
  <c r="N36" i="23" s="1"/>
  <c r="O36" i="23" s="1"/>
  <c r="P36" i="23" s="1"/>
  <c r="M37" i="23"/>
  <c r="N37" i="23" s="1"/>
  <c r="O37" i="23" s="1"/>
  <c r="P37" i="23" s="1"/>
  <c r="M42" i="23"/>
  <c r="N42" i="23" s="1"/>
  <c r="O42" i="23" s="1"/>
  <c r="P42" i="23" s="1"/>
  <c r="M28" i="23"/>
  <c r="N28" i="23" s="1"/>
  <c r="O28" i="23" s="1"/>
  <c r="P28" i="23" s="1"/>
  <c r="M30" i="23"/>
  <c r="N30" i="23" s="1"/>
  <c r="O30" i="23" s="1"/>
  <c r="P30" i="23" s="1"/>
  <c r="M38" i="23"/>
  <c r="N38" i="23" s="1"/>
  <c r="O38" i="23" s="1"/>
  <c r="P38" i="23" s="1"/>
  <c r="M41" i="23"/>
  <c r="N41" i="23" s="1"/>
  <c r="O41" i="23" s="1"/>
  <c r="P41" i="23" s="1"/>
  <c r="M32" i="23"/>
  <c r="N32" i="23" s="1"/>
  <c r="O32" i="23" s="1"/>
  <c r="P32" i="23" s="1"/>
  <c r="M34" i="23"/>
  <c r="N34" i="23" s="1"/>
  <c r="O34" i="23" s="1"/>
  <c r="P34" i="23" s="1"/>
  <c r="M39" i="23"/>
  <c r="N39" i="23" s="1"/>
  <c r="O39" i="23" s="1"/>
  <c r="P39" i="23" s="1"/>
  <c r="M40" i="23"/>
  <c r="N40" i="23" s="1"/>
  <c r="O40" i="23" s="1"/>
  <c r="P40" i="23" s="1"/>
  <c r="M43" i="23"/>
  <c r="N43" i="23" s="1"/>
  <c r="O43" i="23" s="1"/>
  <c r="P43" i="23" s="1"/>
  <c r="M44" i="23"/>
  <c r="N44" i="23" s="1"/>
  <c r="O44" i="23" s="1"/>
  <c r="P44" i="23" s="1"/>
  <c r="M45" i="23"/>
  <c r="N45" i="23" s="1"/>
  <c r="O45" i="23" s="1"/>
  <c r="P45" i="23" s="1"/>
  <c r="M46" i="23"/>
  <c r="N46" i="23" s="1"/>
  <c r="O46" i="23" s="1"/>
  <c r="P46" i="23" s="1"/>
  <c r="M47" i="23"/>
  <c r="N47" i="23" s="1"/>
  <c r="O47" i="23" s="1"/>
  <c r="P47" i="23" s="1"/>
  <c r="M48" i="23"/>
  <c r="N48" i="23" s="1"/>
  <c r="O48" i="23" s="1"/>
  <c r="P48" i="23" s="1"/>
  <c r="M49" i="23"/>
  <c r="N49" i="23" s="1"/>
  <c r="O49" i="23" s="1"/>
  <c r="P49" i="23" s="1"/>
  <c r="M50" i="23"/>
  <c r="N50" i="23" s="1"/>
  <c r="O50" i="23" s="1"/>
  <c r="P50" i="23" s="1"/>
  <c r="M54" i="23"/>
  <c r="N54" i="23" s="1"/>
  <c r="O54" i="23" s="1"/>
  <c r="P54" i="23" s="1"/>
  <c r="M63" i="23"/>
  <c r="N63" i="23" s="1"/>
  <c r="O63" i="23" s="1"/>
  <c r="P63" i="23" s="1"/>
  <c r="M64" i="23"/>
  <c r="N64" i="23" s="1"/>
  <c r="O64" i="23" s="1"/>
  <c r="P64" i="23" s="1"/>
  <c r="M65" i="23"/>
  <c r="N65" i="23" s="1"/>
  <c r="O65" i="23" s="1"/>
  <c r="P65" i="23" s="1"/>
  <c r="M66" i="23"/>
  <c r="N66" i="23" s="1"/>
  <c r="O66" i="23" s="1"/>
  <c r="P66" i="23" s="1"/>
  <c r="M67" i="23"/>
  <c r="N67" i="23" s="1"/>
  <c r="O67" i="23" s="1"/>
  <c r="P67" i="23" s="1"/>
  <c r="M51" i="23"/>
  <c r="N51" i="23" s="1"/>
  <c r="O51" i="23" s="1"/>
  <c r="P51" i="23" s="1"/>
  <c r="M52" i="23"/>
  <c r="N52" i="23" s="1"/>
  <c r="O52" i="23" s="1"/>
  <c r="P52" i="23" s="1"/>
  <c r="M57" i="23"/>
  <c r="N57" i="23" s="1"/>
  <c r="O57" i="23" s="1"/>
  <c r="P57" i="23" s="1"/>
  <c r="M58" i="23"/>
  <c r="N58" i="23" s="1"/>
  <c r="O58" i="23" s="1"/>
  <c r="P58" i="23" s="1"/>
  <c r="M61" i="23"/>
  <c r="N61" i="23" s="1"/>
  <c r="O61" i="23" s="1"/>
  <c r="P61" i="23" s="1"/>
  <c r="M62" i="23"/>
  <c r="N62" i="23" s="1"/>
  <c r="O62" i="23" s="1"/>
  <c r="P62" i="23" s="1"/>
  <c r="M69" i="23"/>
  <c r="N69" i="23" s="1"/>
  <c r="O69" i="23" s="1"/>
  <c r="P69" i="23" s="1"/>
  <c r="M70" i="23"/>
  <c r="N70" i="23" s="1"/>
  <c r="O70" i="23" s="1"/>
  <c r="P70" i="23" s="1"/>
  <c r="M71" i="23"/>
  <c r="N71" i="23" s="1"/>
  <c r="O71" i="23" s="1"/>
  <c r="P71" i="23" s="1"/>
  <c r="M72" i="23"/>
  <c r="N72" i="23" s="1"/>
  <c r="O72" i="23" s="1"/>
  <c r="P72" i="23" s="1"/>
  <c r="M80" i="23"/>
  <c r="N80" i="23" s="1"/>
  <c r="O80" i="23" s="1"/>
  <c r="P80" i="23" s="1"/>
  <c r="M81" i="23"/>
  <c r="N81" i="23" s="1"/>
  <c r="O81" i="23" s="1"/>
  <c r="P81" i="23" s="1"/>
  <c r="M82" i="23"/>
  <c r="N82" i="23" s="1"/>
  <c r="O82" i="23" s="1"/>
  <c r="P82" i="23" s="1"/>
  <c r="M83" i="23"/>
  <c r="N83" i="23" s="1"/>
  <c r="O83" i="23" s="1"/>
  <c r="P83" i="23" s="1"/>
  <c r="M84" i="23"/>
  <c r="N84" i="23" s="1"/>
  <c r="O84" i="23" s="1"/>
  <c r="P84" i="23" s="1"/>
  <c r="M85" i="23"/>
  <c r="N85" i="23" s="1"/>
  <c r="O85" i="23" s="1"/>
  <c r="P85" i="23" s="1"/>
  <c r="M86" i="23"/>
  <c r="N86" i="23" s="1"/>
  <c r="O86" i="23" s="1"/>
  <c r="P86" i="23" s="1"/>
  <c r="M88" i="23"/>
  <c r="N88" i="23" s="1"/>
  <c r="O88" i="23" s="1"/>
  <c r="P88" i="23" s="1"/>
  <c r="M91" i="23"/>
  <c r="N91" i="23" s="1"/>
  <c r="O91" i="23" s="1"/>
  <c r="P91" i="23" s="1"/>
  <c r="M93" i="23"/>
  <c r="N93" i="23" s="1"/>
  <c r="O93" i="23" s="1"/>
  <c r="P93" i="23" s="1"/>
  <c r="M98" i="23"/>
  <c r="N98" i="23" s="1"/>
  <c r="O98" i="23" s="1"/>
  <c r="P98" i="23" s="1"/>
  <c r="M99" i="23"/>
  <c r="N99" i="23" s="1"/>
  <c r="O99" i="23" s="1"/>
  <c r="P99" i="23" s="1"/>
  <c r="M100" i="23"/>
  <c r="N100" i="23" s="1"/>
  <c r="O100" i="23" s="1"/>
  <c r="P100" i="23" s="1"/>
  <c r="M102" i="23"/>
  <c r="N102" i="23" s="1"/>
  <c r="O102" i="23" s="1"/>
  <c r="P102" i="23" s="1"/>
  <c r="M103" i="23"/>
  <c r="N103" i="23" s="1"/>
  <c r="O103" i="23" s="1"/>
  <c r="P103" i="23" s="1"/>
  <c r="M106" i="23"/>
  <c r="N106" i="23" s="1"/>
  <c r="O106" i="23" s="1"/>
  <c r="P106" i="23" s="1"/>
  <c r="M107" i="23"/>
  <c r="N107" i="23" s="1"/>
  <c r="O107" i="23" s="1"/>
  <c r="P107" i="23" s="1"/>
  <c r="M108" i="23"/>
  <c r="N108" i="23" s="1"/>
  <c r="O108" i="23" s="1"/>
  <c r="P108" i="23" s="1"/>
  <c r="M110" i="23"/>
  <c r="N110" i="23" s="1"/>
  <c r="O110" i="23" s="1"/>
  <c r="P110" i="23" s="1"/>
  <c r="M113" i="23"/>
  <c r="N113" i="23" s="1"/>
  <c r="O113" i="23" s="1"/>
  <c r="P113" i="23" s="1"/>
  <c r="M114" i="23"/>
  <c r="N114" i="23" s="1"/>
  <c r="O114" i="23" s="1"/>
  <c r="P114" i="23" s="1"/>
  <c r="M115" i="23"/>
  <c r="N115" i="23" s="1"/>
  <c r="O115" i="23" s="1"/>
  <c r="P115" i="23" s="1"/>
  <c r="M116" i="23"/>
  <c r="N116" i="23" s="1"/>
  <c r="O116" i="23" s="1"/>
  <c r="P116" i="23" s="1"/>
  <c r="M117" i="23"/>
  <c r="N117" i="23" s="1"/>
  <c r="O117" i="23" s="1"/>
  <c r="P117" i="23" s="1"/>
  <c r="M118" i="23"/>
  <c r="N118" i="23" s="1"/>
  <c r="O118" i="23" s="1"/>
  <c r="P118" i="23" s="1"/>
  <c r="M119" i="23"/>
  <c r="N119" i="23" s="1"/>
  <c r="O119" i="23" s="1"/>
  <c r="P119" i="23" s="1"/>
  <c r="M120" i="23"/>
  <c r="N120" i="23" s="1"/>
  <c r="O120" i="23" s="1"/>
  <c r="P120" i="23" s="1"/>
  <c r="M121" i="23"/>
  <c r="N121" i="23" s="1"/>
  <c r="O121" i="23" s="1"/>
  <c r="P121" i="23" s="1"/>
  <c r="M122" i="23"/>
  <c r="N122" i="23" s="1"/>
  <c r="O122" i="23" s="1"/>
  <c r="P122" i="23" s="1"/>
  <c r="M123" i="23"/>
  <c r="N123" i="23" s="1"/>
  <c r="O123" i="23" s="1"/>
  <c r="P123" i="23" s="1"/>
  <c r="M53" i="23"/>
  <c r="N53" i="23" s="1"/>
  <c r="O53" i="23" s="1"/>
  <c r="P53" i="23" s="1"/>
  <c r="M55" i="23"/>
  <c r="N55" i="23" s="1"/>
  <c r="O55" i="23" s="1"/>
  <c r="P55" i="23" s="1"/>
  <c r="M56" i="23"/>
  <c r="N56" i="23" s="1"/>
  <c r="O56" i="23" s="1"/>
  <c r="P56" i="23" s="1"/>
  <c r="M59" i="23"/>
  <c r="N59" i="23" s="1"/>
  <c r="O59" i="23" s="1"/>
  <c r="P59" i="23" s="1"/>
  <c r="M60" i="23"/>
  <c r="N60" i="23" s="1"/>
  <c r="O60" i="23" s="1"/>
  <c r="P60" i="23" s="1"/>
  <c r="M68" i="23"/>
  <c r="N68" i="23" s="1"/>
  <c r="O68" i="23" s="1"/>
  <c r="P68" i="23" s="1"/>
  <c r="M73" i="23"/>
  <c r="N73" i="23" s="1"/>
  <c r="O73" i="23" s="1"/>
  <c r="P73" i="23" s="1"/>
  <c r="M74" i="23"/>
  <c r="N74" i="23" s="1"/>
  <c r="O74" i="23" s="1"/>
  <c r="P74" i="23" s="1"/>
  <c r="M75" i="23"/>
  <c r="N75" i="23" s="1"/>
  <c r="O75" i="23" s="1"/>
  <c r="P75" i="23" s="1"/>
  <c r="M76" i="23"/>
  <c r="N76" i="23" s="1"/>
  <c r="O76" i="23" s="1"/>
  <c r="P76" i="23" s="1"/>
  <c r="M77" i="23"/>
  <c r="N77" i="23" s="1"/>
  <c r="O77" i="23" s="1"/>
  <c r="P77" i="23" s="1"/>
  <c r="M78" i="23"/>
  <c r="N78" i="23" s="1"/>
  <c r="O78" i="23" s="1"/>
  <c r="P78" i="23" s="1"/>
  <c r="M79" i="23"/>
  <c r="N79" i="23" s="1"/>
  <c r="O79" i="23" s="1"/>
  <c r="P79" i="23" s="1"/>
  <c r="M87" i="23"/>
  <c r="N87" i="23" s="1"/>
  <c r="O87" i="23" s="1"/>
  <c r="P87" i="23" s="1"/>
  <c r="M89" i="23"/>
  <c r="N89" i="23" s="1"/>
  <c r="O89" i="23" s="1"/>
  <c r="P89" i="23" s="1"/>
  <c r="M90" i="23"/>
  <c r="N90" i="23" s="1"/>
  <c r="O90" i="23" s="1"/>
  <c r="P90" i="23" s="1"/>
  <c r="M92" i="23"/>
  <c r="N92" i="23" s="1"/>
  <c r="O92" i="23" s="1"/>
  <c r="P92" i="23" s="1"/>
  <c r="M94" i="23"/>
  <c r="N94" i="23" s="1"/>
  <c r="O94" i="23" s="1"/>
  <c r="P94" i="23" s="1"/>
  <c r="M96" i="23"/>
  <c r="N96" i="23" s="1"/>
  <c r="O96" i="23" s="1"/>
  <c r="P96" i="23" s="1"/>
  <c r="M101" i="23"/>
  <c r="N101" i="23" s="1"/>
  <c r="O101" i="23" s="1"/>
  <c r="P101" i="23" s="1"/>
  <c r="M104" i="23"/>
  <c r="N104" i="23" s="1"/>
  <c r="O104" i="23" s="1"/>
  <c r="P104" i="23" s="1"/>
  <c r="M109" i="23"/>
  <c r="N109" i="23" s="1"/>
  <c r="O109" i="23" s="1"/>
  <c r="P109" i="23" s="1"/>
  <c r="M111" i="23"/>
  <c r="N111" i="23" s="1"/>
  <c r="O111" i="23" s="1"/>
  <c r="P111" i="23" s="1"/>
  <c r="M127" i="23"/>
  <c r="N127" i="23" s="1"/>
  <c r="O127" i="23" s="1"/>
  <c r="P127" i="23" s="1"/>
  <c r="M129" i="23"/>
  <c r="N129" i="23" s="1"/>
  <c r="O129" i="23" s="1"/>
  <c r="P129" i="23" s="1"/>
  <c r="M130" i="23"/>
  <c r="N130" i="23" s="1"/>
  <c r="O130" i="23" s="1"/>
  <c r="P130" i="23" s="1"/>
  <c r="M131" i="23"/>
  <c r="N131" i="23" s="1"/>
  <c r="O131" i="23" s="1"/>
  <c r="P131" i="23" s="1"/>
  <c r="M132" i="23"/>
  <c r="N132" i="23" s="1"/>
  <c r="O132" i="23" s="1"/>
  <c r="P132" i="23" s="1"/>
  <c r="M133" i="23"/>
  <c r="N133" i="23" s="1"/>
  <c r="O133" i="23" s="1"/>
  <c r="P133" i="23" s="1"/>
  <c r="M134" i="23"/>
  <c r="N134" i="23" s="1"/>
  <c r="O134" i="23" s="1"/>
  <c r="P134" i="23" s="1"/>
  <c r="M135" i="23"/>
  <c r="N135" i="23" s="1"/>
  <c r="O135" i="23" s="1"/>
  <c r="P135" i="23" s="1"/>
  <c r="M136" i="23"/>
  <c r="N136" i="23" s="1"/>
  <c r="O136" i="23" s="1"/>
  <c r="P136" i="23" s="1"/>
  <c r="M137" i="23"/>
  <c r="N137" i="23" s="1"/>
  <c r="O137" i="23" s="1"/>
  <c r="P137" i="23" s="1"/>
  <c r="M138" i="23"/>
  <c r="N138" i="23" s="1"/>
  <c r="O138" i="23" s="1"/>
  <c r="P138" i="23" s="1"/>
  <c r="M139" i="23"/>
  <c r="N139" i="23" s="1"/>
  <c r="O139" i="23" s="1"/>
  <c r="P139" i="23" s="1"/>
  <c r="M140" i="23"/>
  <c r="N140" i="23" s="1"/>
  <c r="O140" i="23" s="1"/>
  <c r="P140" i="23" s="1"/>
  <c r="M141" i="23"/>
  <c r="N141" i="23" s="1"/>
  <c r="O141" i="23" s="1"/>
  <c r="P141" i="23" s="1"/>
  <c r="M142" i="23"/>
  <c r="N142" i="23" s="1"/>
  <c r="O142" i="23" s="1"/>
  <c r="P142" i="23" s="1"/>
  <c r="M144" i="23"/>
  <c r="N144" i="23" s="1"/>
  <c r="O144" i="23" s="1"/>
  <c r="P144" i="23" s="1"/>
  <c r="M146" i="23"/>
  <c r="N146" i="23" s="1"/>
  <c r="O146" i="23" s="1"/>
  <c r="P146" i="23" s="1"/>
  <c r="M148" i="23"/>
  <c r="N148" i="23" s="1"/>
  <c r="O148" i="23" s="1"/>
  <c r="P148" i="23" s="1"/>
  <c r="M149" i="23"/>
  <c r="N149" i="23" s="1"/>
  <c r="O149" i="23" s="1"/>
  <c r="P149" i="23" s="1"/>
  <c r="M150" i="23"/>
  <c r="N150" i="23" s="1"/>
  <c r="O150" i="23" s="1"/>
  <c r="P150" i="23" s="1"/>
  <c r="M153" i="23"/>
  <c r="N153" i="23" s="1"/>
  <c r="O153" i="23" s="1"/>
  <c r="P153" i="23" s="1"/>
  <c r="M154" i="23"/>
  <c r="N154" i="23" s="1"/>
  <c r="O154" i="23" s="1"/>
  <c r="P154" i="23" s="1"/>
  <c r="M157" i="23"/>
  <c r="N157" i="23" s="1"/>
  <c r="O157" i="23" s="1"/>
  <c r="P157" i="23" s="1"/>
  <c r="M158" i="23"/>
  <c r="N158" i="23" s="1"/>
  <c r="O158" i="23" s="1"/>
  <c r="P158" i="23" s="1"/>
  <c r="M161" i="23"/>
  <c r="N161" i="23" s="1"/>
  <c r="O161" i="23" s="1"/>
  <c r="P161" i="23" s="1"/>
  <c r="M162" i="23"/>
  <c r="N162" i="23" s="1"/>
  <c r="O162" i="23" s="1"/>
  <c r="P162" i="23" s="1"/>
  <c r="M165" i="23"/>
  <c r="N165" i="23" s="1"/>
  <c r="O165" i="23" s="1"/>
  <c r="P165" i="23" s="1"/>
  <c r="M166" i="23"/>
  <c r="N166" i="23" s="1"/>
  <c r="O166" i="23" s="1"/>
  <c r="P166" i="23" s="1"/>
  <c r="M169" i="23"/>
  <c r="N169" i="23" s="1"/>
  <c r="O169" i="23" s="1"/>
  <c r="P169" i="23" s="1"/>
  <c r="M170" i="23"/>
  <c r="N170" i="23" s="1"/>
  <c r="O170" i="23" s="1"/>
  <c r="P170" i="23" s="1"/>
  <c r="M173" i="23"/>
  <c r="N173" i="23" s="1"/>
  <c r="O173" i="23" s="1"/>
  <c r="P173" i="23" s="1"/>
  <c r="M174" i="23"/>
  <c r="N174" i="23" s="1"/>
  <c r="O174" i="23" s="1"/>
  <c r="P174" i="23" s="1"/>
  <c r="M175" i="23"/>
  <c r="N175" i="23" s="1"/>
  <c r="O175" i="23" s="1"/>
  <c r="P175" i="23" s="1"/>
  <c r="M95" i="23"/>
  <c r="N95" i="23" s="1"/>
  <c r="O95" i="23" s="1"/>
  <c r="P95" i="23" s="1"/>
  <c r="M97" i="23"/>
  <c r="N97" i="23" s="1"/>
  <c r="O97" i="23" s="1"/>
  <c r="P97" i="23" s="1"/>
  <c r="M155" i="23"/>
  <c r="N155" i="23" s="1"/>
  <c r="O155" i="23" s="1"/>
  <c r="P155" i="23" s="1"/>
  <c r="M156" i="23"/>
  <c r="N156" i="23" s="1"/>
  <c r="O156" i="23" s="1"/>
  <c r="P156" i="23" s="1"/>
  <c r="M163" i="23"/>
  <c r="N163" i="23" s="1"/>
  <c r="O163" i="23" s="1"/>
  <c r="P163" i="23" s="1"/>
  <c r="M164" i="23"/>
  <c r="N164" i="23" s="1"/>
  <c r="O164" i="23" s="1"/>
  <c r="P164" i="23" s="1"/>
  <c r="M171" i="23"/>
  <c r="N171" i="23" s="1"/>
  <c r="O171" i="23" s="1"/>
  <c r="P171" i="23" s="1"/>
  <c r="M172" i="23"/>
  <c r="N172" i="23" s="1"/>
  <c r="O172" i="23" s="1"/>
  <c r="P172" i="23" s="1"/>
  <c r="M180" i="23"/>
  <c r="N180" i="23" s="1"/>
  <c r="O180" i="23" s="1"/>
  <c r="P180" i="23" s="1"/>
  <c r="M181" i="23"/>
  <c r="N181" i="23" s="1"/>
  <c r="O181" i="23" s="1"/>
  <c r="P181" i="23" s="1"/>
  <c r="M182" i="23"/>
  <c r="N182" i="23" s="1"/>
  <c r="O182" i="23" s="1"/>
  <c r="P182" i="23" s="1"/>
  <c r="M183" i="23"/>
  <c r="N183" i="23" s="1"/>
  <c r="O183" i="23" s="1"/>
  <c r="P183" i="23" s="1"/>
  <c r="M186" i="23"/>
  <c r="N186" i="23" s="1"/>
  <c r="O186" i="23" s="1"/>
  <c r="P186" i="23" s="1"/>
  <c r="M190" i="23"/>
  <c r="N190" i="23" s="1"/>
  <c r="O190" i="23" s="1"/>
  <c r="P190" i="23" s="1"/>
  <c r="M192" i="23"/>
  <c r="N192" i="23" s="1"/>
  <c r="O192" i="23" s="1"/>
  <c r="P192" i="23" s="1"/>
  <c r="M193" i="23"/>
  <c r="N193" i="23" s="1"/>
  <c r="O193" i="23" s="1"/>
  <c r="P193" i="23" s="1"/>
  <c r="M197" i="23"/>
  <c r="N197" i="23" s="1"/>
  <c r="O197" i="23" s="1"/>
  <c r="P197" i="23" s="1"/>
  <c r="M199" i="23"/>
  <c r="N199" i="23" s="1"/>
  <c r="O199" i="23" s="1"/>
  <c r="P199" i="23" s="1"/>
  <c r="M202" i="23"/>
  <c r="N202" i="23" s="1"/>
  <c r="O202" i="23" s="1"/>
  <c r="P202" i="23" s="1"/>
  <c r="M203" i="23"/>
  <c r="N203" i="23" s="1"/>
  <c r="O203" i="23" s="1"/>
  <c r="P203" i="23" s="1"/>
  <c r="M207" i="23"/>
  <c r="N207" i="23" s="1"/>
  <c r="O207" i="23" s="1"/>
  <c r="P207" i="23" s="1"/>
  <c r="M211" i="23"/>
  <c r="N211" i="23" s="1"/>
  <c r="O211" i="23" s="1"/>
  <c r="P211" i="23" s="1"/>
  <c r="M212" i="23"/>
  <c r="N212" i="23" s="1"/>
  <c r="O212" i="23" s="1"/>
  <c r="P212" i="23" s="1"/>
  <c r="M105" i="23"/>
  <c r="N105" i="23" s="1"/>
  <c r="O105" i="23" s="1"/>
  <c r="P105" i="23" s="1"/>
  <c r="M112" i="23"/>
  <c r="N112" i="23" s="1"/>
  <c r="O112" i="23" s="1"/>
  <c r="P112" i="23" s="1"/>
  <c r="M143" i="23"/>
  <c r="N143" i="23" s="1"/>
  <c r="O143" i="23" s="1"/>
  <c r="P143" i="23" s="1"/>
  <c r="M145" i="23"/>
  <c r="N145" i="23" s="1"/>
  <c r="O145" i="23" s="1"/>
  <c r="P145" i="23" s="1"/>
  <c r="M147" i="23"/>
  <c r="N147" i="23" s="1"/>
  <c r="O147" i="23" s="1"/>
  <c r="P147" i="23" s="1"/>
  <c r="M151" i="23"/>
  <c r="N151" i="23" s="1"/>
  <c r="O151" i="23" s="1"/>
  <c r="P151" i="23" s="1"/>
  <c r="M152" i="23"/>
  <c r="N152" i="23" s="1"/>
  <c r="O152" i="23" s="1"/>
  <c r="P152" i="23" s="1"/>
  <c r="M167" i="23"/>
  <c r="N167" i="23" s="1"/>
  <c r="O167" i="23" s="1"/>
  <c r="P167" i="23" s="1"/>
  <c r="M168" i="23"/>
  <c r="N168" i="23" s="1"/>
  <c r="O168" i="23" s="1"/>
  <c r="P168" i="23" s="1"/>
  <c r="M184" i="23"/>
  <c r="N184" i="23" s="1"/>
  <c r="O184" i="23" s="1"/>
  <c r="P184" i="23" s="1"/>
  <c r="M187" i="23"/>
  <c r="N187" i="23" s="1"/>
  <c r="O187" i="23" s="1"/>
  <c r="P187" i="23" s="1"/>
  <c r="M189" i="23"/>
  <c r="N189" i="23" s="1"/>
  <c r="O189" i="23" s="1"/>
  <c r="P189" i="23" s="1"/>
  <c r="M200" i="23"/>
  <c r="N200" i="23" s="1"/>
  <c r="O200" i="23" s="1"/>
  <c r="P200" i="23" s="1"/>
  <c r="M213" i="23"/>
  <c r="N213" i="23" s="1"/>
  <c r="O213" i="23" s="1"/>
  <c r="P213" i="23" s="1"/>
  <c r="M217" i="23"/>
  <c r="N217" i="23" s="1"/>
  <c r="O217" i="23" s="1"/>
  <c r="P217" i="23" s="1"/>
  <c r="M218" i="23"/>
  <c r="N218" i="23" s="1"/>
  <c r="O218" i="23" s="1"/>
  <c r="P218" i="23" s="1"/>
  <c r="M219" i="23"/>
  <c r="N219" i="23" s="1"/>
  <c r="O219" i="23" s="1"/>
  <c r="P219" i="23" s="1"/>
  <c r="M220" i="23"/>
  <c r="N220" i="23" s="1"/>
  <c r="O220" i="23" s="1"/>
  <c r="P220" i="23" s="1"/>
  <c r="M223" i="23"/>
  <c r="N223" i="23" s="1"/>
  <c r="O223" i="23" s="1"/>
  <c r="P223" i="23" s="1"/>
  <c r="M225" i="23"/>
  <c r="N225" i="23" s="1"/>
  <c r="O225" i="23" s="1"/>
  <c r="P225" i="23" s="1"/>
  <c r="M226" i="23"/>
  <c r="N226" i="23" s="1"/>
  <c r="O226" i="23" s="1"/>
  <c r="P226" i="23" s="1"/>
  <c r="M227" i="23"/>
  <c r="N227" i="23" s="1"/>
  <c r="O227" i="23" s="1"/>
  <c r="P227" i="23" s="1"/>
  <c r="M231" i="23"/>
  <c r="N231" i="23" s="1"/>
  <c r="O231" i="23" s="1"/>
  <c r="P231" i="23" s="1"/>
  <c r="M232" i="23"/>
  <c r="N232" i="23" s="1"/>
  <c r="O232" i="23" s="1"/>
  <c r="P232" i="23" s="1"/>
  <c r="M235" i="23"/>
  <c r="N235" i="23" s="1"/>
  <c r="O235" i="23" s="1"/>
  <c r="P235" i="23" s="1"/>
  <c r="M236" i="23"/>
  <c r="N236" i="23" s="1"/>
  <c r="O236" i="23" s="1"/>
  <c r="P236" i="23" s="1"/>
  <c r="M240" i="23"/>
  <c r="N240" i="23" s="1"/>
  <c r="O240" i="23" s="1"/>
  <c r="P240" i="23" s="1"/>
  <c r="M243" i="23"/>
  <c r="N243" i="23" s="1"/>
  <c r="O243" i="23" s="1"/>
  <c r="P243" i="23" s="1"/>
  <c r="M245" i="23"/>
  <c r="N245" i="23" s="1"/>
  <c r="O245" i="23" s="1"/>
  <c r="P245" i="23" s="1"/>
  <c r="M246" i="23"/>
  <c r="N246" i="23" s="1"/>
  <c r="O246" i="23" s="1"/>
  <c r="P246" i="23" s="1"/>
  <c r="M247" i="23"/>
  <c r="N247" i="23" s="1"/>
  <c r="O247" i="23" s="1"/>
  <c r="P247" i="23" s="1"/>
  <c r="M249" i="23"/>
  <c r="N249" i="23" s="1"/>
  <c r="O249" i="23" s="1"/>
  <c r="P249" i="23" s="1"/>
  <c r="M250" i="23"/>
  <c r="N250" i="23" s="1"/>
  <c r="O250" i="23" s="1"/>
  <c r="P250" i="23" s="1"/>
  <c r="M252" i="23"/>
  <c r="N252" i="23" s="1"/>
  <c r="O252" i="23" s="1"/>
  <c r="P252" i="23" s="1"/>
  <c r="M255" i="23"/>
  <c r="N255" i="23" s="1"/>
  <c r="O255" i="23" s="1"/>
  <c r="P255" i="23" s="1"/>
  <c r="M257" i="23"/>
  <c r="N257" i="23" s="1"/>
  <c r="O257" i="23" s="1"/>
  <c r="P257" i="23" s="1"/>
  <c r="M258" i="23"/>
  <c r="N258" i="23" s="1"/>
  <c r="O258" i="23" s="1"/>
  <c r="P258" i="23" s="1"/>
  <c r="M259" i="23"/>
  <c r="N259" i="23" s="1"/>
  <c r="O259" i="23" s="1"/>
  <c r="P259" i="23" s="1"/>
  <c r="M261" i="23"/>
  <c r="N261" i="23" s="1"/>
  <c r="O261" i="23" s="1"/>
  <c r="P261" i="23" s="1"/>
  <c r="M263" i="23"/>
  <c r="N263" i="23" s="1"/>
  <c r="O263" i="23" s="1"/>
  <c r="P263" i="23" s="1"/>
  <c r="M264" i="23"/>
  <c r="N264" i="23" s="1"/>
  <c r="O264" i="23" s="1"/>
  <c r="P264" i="23" s="1"/>
  <c r="M267" i="23"/>
  <c r="N267" i="23" s="1"/>
  <c r="O267" i="23" s="1"/>
  <c r="P267" i="23" s="1"/>
  <c r="M268" i="23"/>
  <c r="N268" i="23" s="1"/>
  <c r="O268" i="23" s="1"/>
  <c r="P268" i="23" s="1"/>
  <c r="M269" i="23"/>
  <c r="N269" i="23" s="1"/>
  <c r="O269" i="23" s="1"/>
  <c r="P269" i="23" s="1"/>
  <c r="M271" i="23"/>
  <c r="N271" i="23" s="1"/>
  <c r="O271" i="23" s="1"/>
  <c r="P271" i="23" s="1"/>
  <c r="M274" i="23"/>
  <c r="N274" i="23" s="1"/>
  <c r="O274" i="23" s="1"/>
  <c r="P274" i="23" s="1"/>
  <c r="M279" i="23"/>
  <c r="N279" i="23" s="1"/>
  <c r="O279" i="23" s="1"/>
  <c r="P279" i="23" s="1"/>
  <c r="M280" i="23"/>
  <c r="N280" i="23" s="1"/>
  <c r="O280" i="23" s="1"/>
  <c r="P280" i="23" s="1"/>
  <c r="M281" i="23"/>
  <c r="N281" i="23" s="1"/>
  <c r="O281" i="23" s="1"/>
  <c r="P281" i="23" s="1"/>
  <c r="M283" i="23"/>
  <c r="N283" i="23" s="1"/>
  <c r="O283" i="23" s="1"/>
  <c r="P283" i="23" s="1"/>
  <c r="M286" i="23"/>
  <c r="N286" i="23" s="1"/>
  <c r="O286" i="23" s="1"/>
  <c r="P286" i="23" s="1"/>
  <c r="M290" i="23"/>
  <c r="N290" i="23" s="1"/>
  <c r="O290" i="23" s="1"/>
  <c r="P290" i="23" s="1"/>
  <c r="M292" i="23"/>
  <c r="N292" i="23" s="1"/>
  <c r="O292" i="23" s="1"/>
  <c r="P292" i="23" s="1"/>
  <c r="M293" i="23"/>
  <c r="N293" i="23" s="1"/>
  <c r="O293" i="23" s="1"/>
  <c r="P293" i="23" s="1"/>
  <c r="M295" i="23"/>
  <c r="N295" i="23" s="1"/>
  <c r="O295" i="23" s="1"/>
  <c r="P295" i="23" s="1"/>
  <c r="M296" i="23"/>
  <c r="N296" i="23" s="1"/>
  <c r="O296" i="23" s="1"/>
  <c r="P296" i="23" s="1"/>
  <c r="M297" i="23"/>
  <c r="N297" i="23" s="1"/>
  <c r="O297" i="23" s="1"/>
  <c r="P297" i="23" s="1"/>
  <c r="M299" i="23"/>
  <c r="N299" i="23" s="1"/>
  <c r="O299" i="23" s="1"/>
  <c r="P299" i="23" s="1"/>
  <c r="M300" i="23"/>
  <c r="N300" i="23" s="1"/>
  <c r="O300" i="23" s="1"/>
  <c r="P300" i="23" s="1"/>
  <c r="M301" i="23"/>
  <c r="N301" i="23" s="1"/>
  <c r="O301" i="23" s="1"/>
  <c r="P301" i="23" s="1"/>
  <c r="M303" i="23"/>
  <c r="N303" i="23" s="1"/>
  <c r="O303" i="23" s="1"/>
  <c r="P303" i="23" s="1"/>
  <c r="M307" i="23"/>
  <c r="N307" i="23" s="1"/>
  <c r="O307" i="23" s="1"/>
  <c r="P307" i="23" s="1"/>
  <c r="M311" i="23"/>
  <c r="N311" i="23" s="1"/>
  <c r="O311" i="23" s="1"/>
  <c r="P311" i="23" s="1"/>
  <c r="M315" i="23"/>
  <c r="N315" i="23" s="1"/>
  <c r="O315" i="23" s="1"/>
  <c r="P315" i="23" s="1"/>
  <c r="M316" i="23"/>
  <c r="N316" i="23" s="1"/>
  <c r="O316" i="23" s="1"/>
  <c r="P316" i="23" s="1"/>
  <c r="M124" i="23"/>
  <c r="N124" i="23" s="1"/>
  <c r="O124" i="23" s="1"/>
  <c r="P124" i="23" s="1"/>
  <c r="M125" i="23"/>
  <c r="N125" i="23" s="1"/>
  <c r="O125" i="23" s="1"/>
  <c r="P125" i="23" s="1"/>
  <c r="M126" i="23"/>
  <c r="N126" i="23" s="1"/>
  <c r="O126" i="23" s="1"/>
  <c r="P126" i="23" s="1"/>
  <c r="M128" i="23"/>
  <c r="N128" i="23" s="1"/>
  <c r="O128" i="23" s="1"/>
  <c r="P128" i="23" s="1"/>
  <c r="M159" i="23"/>
  <c r="N159" i="23" s="1"/>
  <c r="O159" i="23" s="1"/>
  <c r="P159" i="23" s="1"/>
  <c r="M160" i="23"/>
  <c r="N160" i="23" s="1"/>
  <c r="O160" i="23" s="1"/>
  <c r="P160" i="23" s="1"/>
  <c r="M176" i="23"/>
  <c r="N176" i="23" s="1"/>
  <c r="O176" i="23" s="1"/>
  <c r="P176" i="23" s="1"/>
  <c r="M177" i="23"/>
  <c r="N177" i="23" s="1"/>
  <c r="O177" i="23" s="1"/>
  <c r="P177" i="23" s="1"/>
  <c r="M178" i="23"/>
  <c r="N178" i="23" s="1"/>
  <c r="O178" i="23" s="1"/>
  <c r="P178" i="23" s="1"/>
  <c r="M179" i="23"/>
  <c r="N179" i="23" s="1"/>
  <c r="O179" i="23" s="1"/>
  <c r="P179" i="23" s="1"/>
  <c r="M185" i="23"/>
  <c r="N185" i="23" s="1"/>
  <c r="O185" i="23" s="1"/>
  <c r="P185" i="23" s="1"/>
  <c r="M188" i="23"/>
  <c r="N188" i="23" s="1"/>
  <c r="O188" i="23" s="1"/>
  <c r="P188" i="23" s="1"/>
  <c r="M191" i="23"/>
  <c r="N191" i="23" s="1"/>
  <c r="O191" i="23" s="1"/>
  <c r="P191" i="23" s="1"/>
  <c r="M194" i="23"/>
  <c r="N194" i="23" s="1"/>
  <c r="O194" i="23" s="1"/>
  <c r="P194" i="23" s="1"/>
  <c r="M195" i="23"/>
  <c r="N195" i="23" s="1"/>
  <c r="O195" i="23" s="1"/>
  <c r="P195" i="23" s="1"/>
  <c r="M196" i="23"/>
  <c r="N196" i="23" s="1"/>
  <c r="O196" i="23" s="1"/>
  <c r="P196" i="23" s="1"/>
  <c r="M198" i="23"/>
  <c r="N198" i="23" s="1"/>
  <c r="O198" i="23" s="1"/>
  <c r="P198" i="23" s="1"/>
  <c r="M201" i="23"/>
  <c r="N201" i="23" s="1"/>
  <c r="O201" i="23" s="1"/>
  <c r="P201" i="23" s="1"/>
  <c r="M204" i="23"/>
  <c r="N204" i="23" s="1"/>
  <c r="O204" i="23" s="1"/>
  <c r="P204" i="23" s="1"/>
  <c r="M205" i="23"/>
  <c r="N205" i="23" s="1"/>
  <c r="O205" i="23" s="1"/>
  <c r="P205" i="23" s="1"/>
  <c r="M206" i="23"/>
  <c r="N206" i="23" s="1"/>
  <c r="O206" i="23" s="1"/>
  <c r="P206" i="23" s="1"/>
  <c r="M208" i="23"/>
  <c r="N208" i="23" s="1"/>
  <c r="O208" i="23" s="1"/>
  <c r="P208" i="23" s="1"/>
  <c r="M209" i="23"/>
  <c r="N209" i="23" s="1"/>
  <c r="O209" i="23" s="1"/>
  <c r="P209" i="23" s="1"/>
  <c r="M210" i="23"/>
  <c r="N210" i="23" s="1"/>
  <c r="O210" i="23" s="1"/>
  <c r="P210" i="23" s="1"/>
  <c r="M214" i="23"/>
  <c r="N214" i="23" s="1"/>
  <c r="O214" i="23" s="1"/>
  <c r="P214" i="23" s="1"/>
  <c r="M215" i="23"/>
  <c r="N215" i="23" s="1"/>
  <c r="O215" i="23" s="1"/>
  <c r="P215" i="23" s="1"/>
  <c r="M216" i="23"/>
  <c r="N216" i="23" s="1"/>
  <c r="O216" i="23" s="1"/>
  <c r="P216" i="23" s="1"/>
  <c r="M221" i="23"/>
  <c r="N221" i="23" s="1"/>
  <c r="O221" i="23" s="1"/>
  <c r="P221" i="23" s="1"/>
  <c r="M222" i="23"/>
  <c r="N222" i="23" s="1"/>
  <c r="O222" i="23" s="1"/>
  <c r="P222" i="23" s="1"/>
  <c r="M224" i="23"/>
  <c r="N224" i="23" s="1"/>
  <c r="O224" i="23" s="1"/>
  <c r="P224" i="23" s="1"/>
  <c r="M228" i="23"/>
  <c r="N228" i="23" s="1"/>
  <c r="O228" i="23" s="1"/>
  <c r="P228" i="23" s="1"/>
  <c r="M229" i="23"/>
  <c r="N229" i="23" s="1"/>
  <c r="O229" i="23" s="1"/>
  <c r="P229" i="23" s="1"/>
  <c r="M230" i="23"/>
  <c r="N230" i="23" s="1"/>
  <c r="O230" i="23" s="1"/>
  <c r="P230" i="23" s="1"/>
  <c r="M233" i="23"/>
  <c r="N233" i="23" s="1"/>
  <c r="O233" i="23" s="1"/>
  <c r="P233" i="23" s="1"/>
  <c r="M234" i="23"/>
  <c r="N234" i="23" s="1"/>
  <c r="O234" i="23" s="1"/>
  <c r="P234" i="23" s="1"/>
  <c r="M237" i="23"/>
  <c r="N237" i="23" s="1"/>
  <c r="O237" i="23" s="1"/>
  <c r="P237" i="23" s="1"/>
  <c r="M238" i="23"/>
  <c r="N238" i="23" s="1"/>
  <c r="O238" i="23" s="1"/>
  <c r="P238" i="23" s="1"/>
  <c r="M239" i="23"/>
  <c r="N239" i="23" s="1"/>
  <c r="O239" i="23" s="1"/>
  <c r="P239" i="23" s="1"/>
  <c r="M241" i="23"/>
  <c r="N241" i="23" s="1"/>
  <c r="O241" i="23" s="1"/>
  <c r="P241" i="23" s="1"/>
  <c r="M242" i="23"/>
  <c r="N242" i="23" s="1"/>
  <c r="O242" i="23" s="1"/>
  <c r="P242" i="23" s="1"/>
  <c r="M244" i="23"/>
  <c r="N244" i="23" s="1"/>
  <c r="O244" i="23" s="1"/>
  <c r="P244" i="23" s="1"/>
  <c r="M248" i="23"/>
  <c r="N248" i="23" s="1"/>
  <c r="O248" i="23" s="1"/>
  <c r="P248" i="23" s="1"/>
  <c r="M251" i="23"/>
  <c r="N251" i="23" s="1"/>
  <c r="O251" i="23" s="1"/>
  <c r="P251" i="23" s="1"/>
  <c r="M253" i="23"/>
  <c r="N253" i="23" s="1"/>
  <c r="O253" i="23" s="1"/>
  <c r="P253" i="23" s="1"/>
  <c r="M254" i="23"/>
  <c r="N254" i="23" s="1"/>
  <c r="O254" i="23" s="1"/>
  <c r="P254" i="23" s="1"/>
  <c r="M256" i="23"/>
  <c r="N256" i="23" s="1"/>
  <c r="O256" i="23" s="1"/>
  <c r="P256" i="23" s="1"/>
  <c r="M260" i="23"/>
  <c r="N260" i="23" s="1"/>
  <c r="O260" i="23" s="1"/>
  <c r="P260" i="23" s="1"/>
  <c r="M262" i="23"/>
  <c r="N262" i="23" s="1"/>
  <c r="O262" i="23" s="1"/>
  <c r="P262" i="23" s="1"/>
  <c r="M265" i="23"/>
  <c r="N265" i="23" s="1"/>
  <c r="O265" i="23" s="1"/>
  <c r="P265" i="23" s="1"/>
  <c r="M266" i="23"/>
  <c r="N266" i="23" s="1"/>
  <c r="O266" i="23" s="1"/>
  <c r="P266" i="23" s="1"/>
  <c r="M270" i="23"/>
  <c r="N270" i="23" s="1"/>
  <c r="O270" i="23" s="1"/>
  <c r="P270" i="23" s="1"/>
  <c r="M272" i="23"/>
  <c r="N272" i="23" s="1"/>
  <c r="O272" i="23" s="1"/>
  <c r="P272" i="23" s="1"/>
  <c r="M273" i="23"/>
  <c r="N273" i="23" s="1"/>
  <c r="O273" i="23" s="1"/>
  <c r="P273" i="23" s="1"/>
  <c r="M275" i="23"/>
  <c r="N275" i="23" s="1"/>
  <c r="O275" i="23" s="1"/>
  <c r="P275" i="23" s="1"/>
  <c r="M276" i="23"/>
  <c r="N276" i="23" s="1"/>
  <c r="O276" i="23" s="1"/>
  <c r="P276" i="23" s="1"/>
  <c r="M277" i="23"/>
  <c r="N277" i="23" s="1"/>
  <c r="O277" i="23" s="1"/>
  <c r="P277" i="23" s="1"/>
  <c r="M278" i="23"/>
  <c r="N278" i="23" s="1"/>
  <c r="O278" i="23" s="1"/>
  <c r="P278" i="23" s="1"/>
  <c r="M282" i="23"/>
  <c r="N282" i="23" s="1"/>
  <c r="O282" i="23" s="1"/>
  <c r="P282" i="23" s="1"/>
  <c r="M284" i="23"/>
  <c r="N284" i="23" s="1"/>
  <c r="O284" i="23" s="1"/>
  <c r="P284" i="23" s="1"/>
  <c r="M285" i="23"/>
  <c r="N285" i="23" s="1"/>
  <c r="O285" i="23" s="1"/>
  <c r="P285" i="23" s="1"/>
  <c r="M287" i="23"/>
  <c r="N287" i="23" s="1"/>
  <c r="O287" i="23" s="1"/>
  <c r="P287" i="23" s="1"/>
  <c r="M288" i="23"/>
  <c r="N288" i="23" s="1"/>
  <c r="O288" i="23" s="1"/>
  <c r="P288" i="23" s="1"/>
  <c r="M289" i="23"/>
  <c r="N289" i="23" s="1"/>
  <c r="O289" i="23" s="1"/>
  <c r="P289" i="23" s="1"/>
  <c r="M291" i="23"/>
  <c r="N291" i="23" s="1"/>
  <c r="O291" i="23" s="1"/>
  <c r="P291" i="23" s="1"/>
  <c r="M294" i="23"/>
  <c r="N294" i="23" s="1"/>
  <c r="O294" i="23" s="1"/>
  <c r="P294" i="23" s="1"/>
  <c r="M298" i="23"/>
  <c r="N298" i="23" s="1"/>
  <c r="O298" i="23" s="1"/>
  <c r="P298" i="23" s="1"/>
  <c r="M302" i="23"/>
  <c r="N302" i="23" s="1"/>
  <c r="O302" i="23" s="1"/>
  <c r="P302" i="23" s="1"/>
  <c r="M304" i="23"/>
  <c r="N304" i="23" s="1"/>
  <c r="O304" i="23" s="1"/>
  <c r="P304" i="23" s="1"/>
  <c r="M305" i="23"/>
  <c r="N305" i="23" s="1"/>
  <c r="O305" i="23" s="1"/>
  <c r="P305" i="23" s="1"/>
  <c r="M306" i="23"/>
  <c r="N306" i="23" s="1"/>
  <c r="O306" i="23" s="1"/>
  <c r="P306" i="23" s="1"/>
  <c r="M308" i="23"/>
  <c r="N308" i="23" s="1"/>
  <c r="O308" i="23" s="1"/>
  <c r="P308" i="23" s="1"/>
  <c r="M309" i="23"/>
  <c r="N309" i="23" s="1"/>
  <c r="O309" i="23" s="1"/>
  <c r="P309" i="23" s="1"/>
  <c r="M310" i="23"/>
  <c r="N310" i="23" s="1"/>
  <c r="O310" i="23" s="1"/>
  <c r="P310" i="23" s="1"/>
  <c r="M312" i="23"/>
  <c r="N312" i="23" s="1"/>
  <c r="O312" i="23" s="1"/>
  <c r="P312" i="23" s="1"/>
  <c r="M313" i="23"/>
  <c r="N313" i="23" s="1"/>
  <c r="O313" i="23" s="1"/>
  <c r="P313" i="23" s="1"/>
  <c r="M314" i="23"/>
  <c r="N314" i="23" s="1"/>
  <c r="O314" i="23" s="1"/>
  <c r="P314" i="23" s="1"/>
  <c r="M318" i="23"/>
  <c r="N318" i="23" s="1"/>
  <c r="O318" i="23" s="1"/>
  <c r="P318" i="23" s="1"/>
  <c r="M319" i="23"/>
  <c r="N319" i="23" s="1"/>
  <c r="O319" i="23" s="1"/>
  <c r="P319" i="23" s="1"/>
  <c r="M320" i="23"/>
  <c r="N320" i="23" s="1"/>
  <c r="O320" i="23" s="1"/>
  <c r="P320" i="23" s="1"/>
  <c r="M321" i="23"/>
  <c r="N321" i="23" s="1"/>
  <c r="O321" i="23" s="1"/>
  <c r="P321" i="23" s="1"/>
  <c r="M322" i="23"/>
  <c r="N322" i="23" s="1"/>
  <c r="O322" i="23" s="1"/>
  <c r="P322" i="23" s="1"/>
  <c r="M23" i="23"/>
  <c r="M317" i="23"/>
  <c r="N317" i="23" s="1"/>
  <c r="O317" i="23" s="1"/>
  <c r="P317" i="23" s="1"/>
  <c r="K11" i="24"/>
  <c r="D11" i="24" s="1"/>
  <c r="Q26" i="23"/>
  <c r="R26" i="23" s="1"/>
  <c r="S26" i="23" s="1"/>
  <c r="Q27" i="23"/>
  <c r="R27" i="23" s="1"/>
  <c r="S27" i="23" s="1"/>
  <c r="Q28" i="23"/>
  <c r="R28" i="23" s="1"/>
  <c r="S28" i="23" s="1"/>
  <c r="Q29" i="23"/>
  <c r="R29" i="23" s="1"/>
  <c r="S29" i="23" s="1"/>
  <c r="Q33" i="23"/>
  <c r="R33" i="23" s="1"/>
  <c r="S33" i="23" s="1"/>
  <c r="Q36" i="23"/>
  <c r="R36" i="23" s="1"/>
  <c r="S36" i="23" s="1"/>
  <c r="Q39" i="23"/>
  <c r="R39" i="23" s="1"/>
  <c r="S39" i="23" s="1"/>
  <c r="Q41" i="23"/>
  <c r="R41" i="23" s="1"/>
  <c r="S41" i="23" s="1"/>
  <c r="Q42" i="23"/>
  <c r="R42" i="23" s="1"/>
  <c r="S42" i="23" s="1"/>
  <c r="Q25" i="23"/>
  <c r="R25" i="23" s="1"/>
  <c r="S25" i="23" s="1"/>
  <c r="Q31" i="23"/>
  <c r="R31" i="23" s="1"/>
  <c r="S31" i="23" s="1"/>
  <c r="Q32" i="23"/>
  <c r="R32" i="23" s="1"/>
  <c r="S32" i="23" s="1"/>
  <c r="Q37" i="23"/>
  <c r="R37" i="23" s="1"/>
  <c r="S37" i="23" s="1"/>
  <c r="Q38" i="23"/>
  <c r="R38" i="23" s="1"/>
  <c r="S38" i="23" s="1"/>
  <c r="Q40" i="23"/>
  <c r="R40" i="23" s="1"/>
  <c r="S40" i="23" s="1"/>
  <c r="Q30" i="23"/>
  <c r="R30" i="23" s="1"/>
  <c r="S30" i="23" s="1"/>
  <c r="Q44" i="23"/>
  <c r="R44" i="23" s="1"/>
  <c r="S44" i="23" s="1"/>
  <c r="Q46" i="23"/>
  <c r="R46" i="23" s="1"/>
  <c r="S46" i="23" s="1"/>
  <c r="Q48" i="23"/>
  <c r="R48" i="23" s="1"/>
  <c r="S48" i="23" s="1"/>
  <c r="Q50" i="23"/>
  <c r="R50" i="23" s="1"/>
  <c r="S50" i="23" s="1"/>
  <c r="Q51" i="23"/>
  <c r="R51" i="23" s="1"/>
  <c r="S51" i="23" s="1"/>
  <c r="Q54" i="23"/>
  <c r="R54" i="23" s="1"/>
  <c r="S54" i="23" s="1"/>
  <c r="Q55" i="23"/>
  <c r="R55" i="23" s="1"/>
  <c r="S55" i="23" s="1"/>
  <c r="Q57" i="23"/>
  <c r="R57" i="23" s="1"/>
  <c r="S57" i="23" s="1"/>
  <c r="Q59" i="23"/>
  <c r="R59" i="23" s="1"/>
  <c r="S59" i="23" s="1"/>
  <c r="Q61" i="23"/>
  <c r="R61" i="23" s="1"/>
  <c r="S61" i="23" s="1"/>
  <c r="Q64" i="23"/>
  <c r="R64" i="23" s="1"/>
  <c r="S64" i="23" s="1"/>
  <c r="Q65" i="23"/>
  <c r="R65" i="23" s="1"/>
  <c r="S65" i="23" s="1"/>
  <c r="Q66" i="23"/>
  <c r="R66" i="23" s="1"/>
  <c r="S66" i="23" s="1"/>
  <c r="Q34" i="23"/>
  <c r="R34" i="23" s="1"/>
  <c r="S34" i="23" s="1"/>
  <c r="Q35" i="23"/>
  <c r="R35" i="23" s="1"/>
  <c r="S35" i="23" s="1"/>
  <c r="Q47" i="23"/>
  <c r="R47" i="23" s="1"/>
  <c r="S47" i="23" s="1"/>
  <c r="Q53" i="23"/>
  <c r="R53" i="23" s="1"/>
  <c r="S53" i="23" s="1"/>
  <c r="Q56" i="23"/>
  <c r="R56" i="23" s="1"/>
  <c r="S56" i="23" s="1"/>
  <c r="Q58" i="23"/>
  <c r="R58" i="23" s="1"/>
  <c r="S58" i="23" s="1"/>
  <c r="Q60" i="23"/>
  <c r="R60" i="23" s="1"/>
  <c r="S60" i="23" s="1"/>
  <c r="Q62" i="23"/>
  <c r="R62" i="23" s="1"/>
  <c r="S62" i="23" s="1"/>
  <c r="Q67" i="23"/>
  <c r="R67" i="23" s="1"/>
  <c r="S67" i="23" s="1"/>
  <c r="Q24" i="23"/>
  <c r="R24" i="23" s="1"/>
  <c r="S24" i="23" s="1"/>
  <c r="Q43" i="23"/>
  <c r="R43" i="23" s="1"/>
  <c r="S43" i="23" s="1"/>
  <c r="Q45" i="23"/>
  <c r="R45" i="23" s="1"/>
  <c r="S45" i="23" s="1"/>
  <c r="Q49" i="23"/>
  <c r="R49" i="23" s="1"/>
  <c r="S49" i="23" s="1"/>
  <c r="Q52" i="23"/>
  <c r="R52" i="23" s="1"/>
  <c r="S52" i="23" s="1"/>
  <c r="Q70" i="23"/>
  <c r="R70" i="23" s="1"/>
  <c r="S70" i="23" s="1"/>
  <c r="Q72" i="23"/>
  <c r="R72" i="23" s="1"/>
  <c r="S72" i="23" s="1"/>
  <c r="Q75" i="23"/>
  <c r="R75" i="23" s="1"/>
  <c r="S75" i="23" s="1"/>
  <c r="Q78" i="23"/>
  <c r="R78" i="23" s="1"/>
  <c r="S78" i="23" s="1"/>
  <c r="Q82" i="23"/>
  <c r="R82" i="23" s="1"/>
  <c r="S82" i="23" s="1"/>
  <c r="Q83" i="23"/>
  <c r="R83" i="23" s="1"/>
  <c r="S83" i="23" s="1"/>
  <c r="Q86" i="23"/>
  <c r="R86" i="23" s="1"/>
  <c r="S86" i="23" s="1"/>
  <c r="Q87" i="23"/>
  <c r="R87" i="23" s="1"/>
  <c r="S87" i="23" s="1"/>
  <c r="Q88" i="23"/>
  <c r="R88" i="23" s="1"/>
  <c r="S88" i="23" s="1"/>
  <c r="Q89" i="23"/>
  <c r="R89" i="23" s="1"/>
  <c r="S89" i="23" s="1"/>
  <c r="Q96" i="23"/>
  <c r="R96" i="23" s="1"/>
  <c r="S96" i="23" s="1"/>
  <c r="Q97" i="23"/>
  <c r="R97" i="23" s="1"/>
  <c r="S97" i="23" s="1"/>
  <c r="Q98" i="23"/>
  <c r="R98" i="23" s="1"/>
  <c r="S98" i="23" s="1"/>
  <c r="Q100" i="23"/>
  <c r="R100" i="23" s="1"/>
  <c r="S100" i="23" s="1"/>
  <c r="Q101" i="23"/>
  <c r="R101" i="23" s="1"/>
  <c r="S101" i="23" s="1"/>
  <c r="Q102" i="23"/>
  <c r="R102" i="23" s="1"/>
  <c r="S102" i="23" s="1"/>
  <c r="Q104" i="23"/>
  <c r="R104" i="23" s="1"/>
  <c r="S104" i="23" s="1"/>
  <c r="Q105" i="23"/>
  <c r="R105" i="23" s="1"/>
  <c r="S105" i="23" s="1"/>
  <c r="Q106" i="23"/>
  <c r="R106" i="23" s="1"/>
  <c r="S106" i="23" s="1"/>
  <c r="Q108" i="23"/>
  <c r="R108" i="23" s="1"/>
  <c r="S108" i="23" s="1"/>
  <c r="Q109" i="23"/>
  <c r="R109" i="23" s="1"/>
  <c r="S109" i="23" s="1"/>
  <c r="Q111" i="23"/>
  <c r="R111" i="23" s="1"/>
  <c r="S111" i="23" s="1"/>
  <c r="Q114" i="23"/>
  <c r="R114" i="23" s="1"/>
  <c r="S114" i="23" s="1"/>
  <c r="Q115" i="23"/>
  <c r="R115" i="23" s="1"/>
  <c r="S115" i="23" s="1"/>
  <c r="Q118" i="23"/>
  <c r="R118" i="23" s="1"/>
  <c r="S118" i="23" s="1"/>
  <c r="Q119" i="23"/>
  <c r="R119" i="23" s="1"/>
  <c r="S119" i="23" s="1"/>
  <c r="Q122" i="23"/>
  <c r="R122" i="23" s="1"/>
  <c r="S122" i="23" s="1"/>
  <c r="Q123" i="23"/>
  <c r="R123" i="23" s="1"/>
  <c r="S123" i="23" s="1"/>
  <c r="Q63" i="23"/>
  <c r="R63" i="23" s="1"/>
  <c r="S63" i="23" s="1"/>
  <c r="Q68" i="23"/>
  <c r="R68" i="23" s="1"/>
  <c r="S68" i="23" s="1"/>
  <c r="Q69" i="23"/>
  <c r="R69" i="23" s="1"/>
  <c r="S69" i="23" s="1"/>
  <c r="Q71" i="23"/>
  <c r="R71" i="23" s="1"/>
  <c r="S71" i="23" s="1"/>
  <c r="Q73" i="23"/>
  <c r="R73" i="23" s="1"/>
  <c r="S73" i="23" s="1"/>
  <c r="Q74" i="23"/>
  <c r="R74" i="23" s="1"/>
  <c r="S74" i="23" s="1"/>
  <c r="Q76" i="23"/>
  <c r="R76" i="23" s="1"/>
  <c r="S76" i="23" s="1"/>
  <c r="Q77" i="23"/>
  <c r="R77" i="23" s="1"/>
  <c r="S77" i="23" s="1"/>
  <c r="Q79" i="23"/>
  <c r="R79" i="23" s="1"/>
  <c r="S79" i="23" s="1"/>
  <c r="Q80" i="23"/>
  <c r="R80" i="23" s="1"/>
  <c r="S80" i="23" s="1"/>
  <c r="Q81" i="23"/>
  <c r="R81" i="23" s="1"/>
  <c r="S81" i="23" s="1"/>
  <c r="Q84" i="23"/>
  <c r="R84" i="23" s="1"/>
  <c r="S84" i="23" s="1"/>
  <c r="Q85" i="23"/>
  <c r="R85" i="23" s="1"/>
  <c r="S85" i="23" s="1"/>
  <c r="Q90" i="23"/>
  <c r="R90" i="23" s="1"/>
  <c r="S90" i="23" s="1"/>
  <c r="Q91" i="23"/>
  <c r="R91" i="23" s="1"/>
  <c r="S91" i="23" s="1"/>
  <c r="Q93" i="23"/>
  <c r="R93" i="23" s="1"/>
  <c r="S93" i="23" s="1"/>
  <c r="Q95" i="23"/>
  <c r="R95" i="23" s="1"/>
  <c r="S95" i="23" s="1"/>
  <c r="Q103" i="23"/>
  <c r="R103" i="23" s="1"/>
  <c r="S103" i="23" s="1"/>
  <c r="Q110" i="23"/>
  <c r="R110" i="23" s="1"/>
  <c r="S110" i="23" s="1"/>
  <c r="Q112" i="23"/>
  <c r="R112" i="23" s="1"/>
  <c r="S112" i="23" s="1"/>
  <c r="Q117" i="23"/>
  <c r="R117" i="23" s="1"/>
  <c r="S117" i="23" s="1"/>
  <c r="Q120" i="23"/>
  <c r="R120" i="23" s="1"/>
  <c r="S120" i="23" s="1"/>
  <c r="Q124" i="23"/>
  <c r="R124" i="23" s="1"/>
  <c r="S124" i="23" s="1"/>
  <c r="Q125" i="23"/>
  <c r="R125" i="23" s="1"/>
  <c r="S125" i="23" s="1"/>
  <c r="Q130" i="23"/>
  <c r="R130" i="23" s="1"/>
  <c r="S130" i="23" s="1"/>
  <c r="Q131" i="23"/>
  <c r="R131" i="23" s="1"/>
  <c r="S131" i="23" s="1"/>
  <c r="Q134" i="23"/>
  <c r="R134" i="23" s="1"/>
  <c r="S134" i="23" s="1"/>
  <c r="Q135" i="23"/>
  <c r="R135" i="23" s="1"/>
  <c r="S135" i="23" s="1"/>
  <c r="Q138" i="23"/>
  <c r="R138" i="23" s="1"/>
  <c r="S138" i="23" s="1"/>
  <c r="Q139" i="23"/>
  <c r="R139" i="23" s="1"/>
  <c r="S139" i="23" s="1"/>
  <c r="Q142" i="23"/>
  <c r="R142" i="23" s="1"/>
  <c r="S142" i="23" s="1"/>
  <c r="Q143" i="23"/>
  <c r="R143" i="23" s="1"/>
  <c r="S143" i="23" s="1"/>
  <c r="Q144" i="23"/>
  <c r="R144" i="23" s="1"/>
  <c r="S144" i="23" s="1"/>
  <c r="Q145" i="23"/>
  <c r="R145" i="23" s="1"/>
  <c r="S145" i="23" s="1"/>
  <c r="Q146" i="23"/>
  <c r="R146" i="23" s="1"/>
  <c r="S146" i="23" s="1"/>
  <c r="Q147" i="23"/>
  <c r="R147" i="23" s="1"/>
  <c r="S147" i="23" s="1"/>
  <c r="Q148" i="23"/>
  <c r="R148" i="23" s="1"/>
  <c r="S148" i="23" s="1"/>
  <c r="Q149" i="23"/>
  <c r="R149" i="23" s="1"/>
  <c r="S149" i="23" s="1"/>
  <c r="Q150" i="23"/>
  <c r="R150" i="23" s="1"/>
  <c r="S150" i="23" s="1"/>
  <c r="Q151" i="23"/>
  <c r="R151" i="23" s="1"/>
  <c r="S151" i="23" s="1"/>
  <c r="Q154" i="23"/>
  <c r="R154" i="23" s="1"/>
  <c r="S154" i="23" s="1"/>
  <c r="Q155" i="23"/>
  <c r="R155" i="23" s="1"/>
  <c r="S155" i="23" s="1"/>
  <c r="Q158" i="23"/>
  <c r="R158" i="23" s="1"/>
  <c r="S158" i="23" s="1"/>
  <c r="Q159" i="23"/>
  <c r="R159" i="23" s="1"/>
  <c r="S159" i="23" s="1"/>
  <c r="Q162" i="23"/>
  <c r="R162" i="23" s="1"/>
  <c r="S162" i="23" s="1"/>
  <c r="Q163" i="23"/>
  <c r="R163" i="23" s="1"/>
  <c r="S163" i="23" s="1"/>
  <c r="Q166" i="23"/>
  <c r="R166" i="23" s="1"/>
  <c r="S166" i="23" s="1"/>
  <c r="Q167" i="23"/>
  <c r="R167" i="23" s="1"/>
  <c r="S167" i="23" s="1"/>
  <c r="Q170" i="23"/>
  <c r="R170" i="23" s="1"/>
  <c r="S170" i="23" s="1"/>
  <c r="Q171" i="23"/>
  <c r="R171" i="23" s="1"/>
  <c r="S171" i="23" s="1"/>
  <c r="Q174" i="23"/>
  <c r="R174" i="23" s="1"/>
  <c r="S174" i="23" s="1"/>
  <c r="Q175" i="23"/>
  <c r="R175" i="23" s="1"/>
  <c r="S175" i="23" s="1"/>
  <c r="Q92" i="23"/>
  <c r="R92" i="23" s="1"/>
  <c r="S92" i="23" s="1"/>
  <c r="Q94" i="23"/>
  <c r="R94" i="23" s="1"/>
  <c r="S94" i="23" s="1"/>
  <c r="Q107" i="23"/>
  <c r="R107" i="23" s="1"/>
  <c r="S107" i="23" s="1"/>
  <c r="Q116" i="23"/>
  <c r="R116" i="23" s="1"/>
  <c r="S116" i="23" s="1"/>
  <c r="Q121" i="23"/>
  <c r="R121" i="23" s="1"/>
  <c r="S121" i="23" s="1"/>
  <c r="Q126" i="23"/>
  <c r="R126" i="23" s="1"/>
  <c r="S126" i="23" s="1"/>
  <c r="Q128" i="23"/>
  <c r="R128" i="23" s="1"/>
  <c r="S128" i="23" s="1"/>
  <c r="Q133" i="23"/>
  <c r="R133" i="23" s="1"/>
  <c r="S133" i="23" s="1"/>
  <c r="Q136" i="23"/>
  <c r="R136" i="23" s="1"/>
  <c r="S136" i="23" s="1"/>
  <c r="Q141" i="23"/>
  <c r="R141" i="23" s="1"/>
  <c r="S141" i="23" s="1"/>
  <c r="Q152" i="23"/>
  <c r="R152" i="23" s="1"/>
  <c r="S152" i="23" s="1"/>
  <c r="Q157" i="23"/>
  <c r="R157" i="23" s="1"/>
  <c r="S157" i="23" s="1"/>
  <c r="Q160" i="23"/>
  <c r="R160" i="23" s="1"/>
  <c r="S160" i="23" s="1"/>
  <c r="Q165" i="23"/>
  <c r="R165" i="23" s="1"/>
  <c r="S165" i="23" s="1"/>
  <c r="Q168" i="23"/>
  <c r="R168" i="23" s="1"/>
  <c r="S168" i="23" s="1"/>
  <c r="Q173" i="23"/>
  <c r="R173" i="23" s="1"/>
  <c r="S173" i="23" s="1"/>
  <c r="Q176" i="23"/>
  <c r="R176" i="23" s="1"/>
  <c r="S176" i="23" s="1"/>
  <c r="Q177" i="23"/>
  <c r="R177" i="23" s="1"/>
  <c r="S177" i="23" s="1"/>
  <c r="Q182" i="23"/>
  <c r="R182" i="23" s="1"/>
  <c r="S182" i="23" s="1"/>
  <c r="Q183" i="23"/>
  <c r="R183" i="23" s="1"/>
  <c r="S183" i="23" s="1"/>
  <c r="Q185" i="23"/>
  <c r="R185" i="23" s="1"/>
  <c r="S185" i="23" s="1"/>
  <c r="Q186" i="23"/>
  <c r="R186" i="23" s="1"/>
  <c r="S186" i="23" s="1"/>
  <c r="Q187" i="23"/>
  <c r="R187" i="23" s="1"/>
  <c r="S187" i="23" s="1"/>
  <c r="Q189" i="23"/>
  <c r="R189" i="23" s="1"/>
  <c r="S189" i="23" s="1"/>
  <c r="Q190" i="23"/>
  <c r="R190" i="23" s="1"/>
  <c r="S190" i="23" s="1"/>
  <c r="Q191" i="23"/>
  <c r="R191" i="23" s="1"/>
  <c r="S191" i="23" s="1"/>
  <c r="Q192" i="23"/>
  <c r="R192" i="23" s="1"/>
  <c r="S192" i="23" s="1"/>
  <c r="Q196" i="23"/>
  <c r="R196" i="23" s="1"/>
  <c r="S196" i="23" s="1"/>
  <c r="Q201" i="23"/>
  <c r="R201" i="23" s="1"/>
  <c r="S201" i="23" s="1"/>
  <c r="Q202" i="23"/>
  <c r="R202" i="23" s="1"/>
  <c r="S202" i="23" s="1"/>
  <c r="Q203" i="23"/>
  <c r="R203" i="23" s="1"/>
  <c r="S203" i="23" s="1"/>
  <c r="Q204" i="23"/>
  <c r="R204" i="23" s="1"/>
  <c r="S204" i="23" s="1"/>
  <c r="Q205" i="23"/>
  <c r="R205" i="23" s="1"/>
  <c r="S205" i="23" s="1"/>
  <c r="Q206" i="23"/>
  <c r="R206" i="23" s="1"/>
  <c r="S206" i="23" s="1"/>
  <c r="Q208" i="23"/>
  <c r="R208" i="23" s="1"/>
  <c r="S208" i="23" s="1"/>
  <c r="Q209" i="23"/>
  <c r="R209" i="23" s="1"/>
  <c r="S209" i="23" s="1"/>
  <c r="Q210" i="23"/>
  <c r="R210" i="23" s="1"/>
  <c r="S210" i="23" s="1"/>
  <c r="Q113" i="23"/>
  <c r="R113" i="23" s="1"/>
  <c r="S113" i="23" s="1"/>
  <c r="Q132" i="23"/>
  <c r="R132" i="23" s="1"/>
  <c r="S132" i="23" s="1"/>
  <c r="Q137" i="23"/>
  <c r="R137" i="23" s="1"/>
  <c r="S137" i="23" s="1"/>
  <c r="Q153" i="23"/>
  <c r="R153" i="23" s="1"/>
  <c r="S153" i="23" s="1"/>
  <c r="Q156" i="23"/>
  <c r="R156" i="23" s="1"/>
  <c r="S156" i="23" s="1"/>
  <c r="Q169" i="23"/>
  <c r="R169" i="23" s="1"/>
  <c r="S169" i="23" s="1"/>
  <c r="Q172" i="23"/>
  <c r="R172" i="23" s="1"/>
  <c r="S172" i="23" s="1"/>
  <c r="Q178" i="23"/>
  <c r="R178" i="23" s="1"/>
  <c r="S178" i="23" s="1"/>
  <c r="Q179" i="23"/>
  <c r="R179" i="23" s="1"/>
  <c r="S179" i="23" s="1"/>
  <c r="Q181" i="23"/>
  <c r="R181" i="23" s="1"/>
  <c r="S181" i="23" s="1"/>
  <c r="Q188" i="23"/>
  <c r="R188" i="23" s="1"/>
  <c r="S188" i="23" s="1"/>
  <c r="Q193" i="23"/>
  <c r="R193" i="23" s="1"/>
  <c r="S193" i="23" s="1"/>
  <c r="Q194" i="23"/>
  <c r="R194" i="23" s="1"/>
  <c r="S194" i="23" s="1"/>
  <c r="Q195" i="23"/>
  <c r="R195" i="23" s="1"/>
  <c r="S195" i="23" s="1"/>
  <c r="Q197" i="23"/>
  <c r="R197" i="23" s="1"/>
  <c r="S197" i="23" s="1"/>
  <c r="Q198" i="23"/>
  <c r="R198" i="23" s="1"/>
  <c r="S198" i="23" s="1"/>
  <c r="Q207" i="23"/>
  <c r="R207" i="23" s="1"/>
  <c r="S207" i="23" s="1"/>
  <c r="Q211" i="23"/>
  <c r="R211" i="23" s="1"/>
  <c r="S211" i="23" s="1"/>
  <c r="Q214" i="23"/>
  <c r="R214" i="23" s="1"/>
  <c r="S214" i="23" s="1"/>
  <c r="Q215" i="23"/>
  <c r="R215" i="23" s="1"/>
  <c r="S215" i="23" s="1"/>
  <c r="Q216" i="23"/>
  <c r="R216" i="23" s="1"/>
  <c r="S216" i="23" s="1"/>
  <c r="Q217" i="23"/>
  <c r="R217" i="23" s="1"/>
  <c r="S217" i="23" s="1"/>
  <c r="Q222" i="23"/>
  <c r="R222" i="23" s="1"/>
  <c r="S222" i="23" s="1"/>
  <c r="Q225" i="23"/>
  <c r="R225" i="23" s="1"/>
  <c r="S225" i="23" s="1"/>
  <c r="Q228" i="23"/>
  <c r="R228" i="23" s="1"/>
  <c r="S228" i="23" s="1"/>
  <c r="Q229" i="23"/>
  <c r="R229" i="23" s="1"/>
  <c r="S229" i="23" s="1"/>
  <c r="Q230" i="23"/>
  <c r="R230" i="23" s="1"/>
  <c r="S230" i="23" s="1"/>
  <c r="Q231" i="23"/>
  <c r="R231" i="23" s="1"/>
  <c r="S231" i="23" s="1"/>
  <c r="Q233" i="23"/>
  <c r="R233" i="23" s="1"/>
  <c r="S233" i="23" s="1"/>
  <c r="Q234" i="23"/>
  <c r="R234" i="23" s="1"/>
  <c r="S234" i="23" s="1"/>
  <c r="Q235" i="23"/>
  <c r="R235" i="23" s="1"/>
  <c r="S235" i="23" s="1"/>
  <c r="Q237" i="23"/>
  <c r="R237" i="23" s="1"/>
  <c r="S237" i="23" s="1"/>
  <c r="Q238" i="23"/>
  <c r="R238" i="23" s="1"/>
  <c r="S238" i="23" s="1"/>
  <c r="Q239" i="23"/>
  <c r="R239" i="23" s="1"/>
  <c r="S239" i="23" s="1"/>
  <c r="Q240" i="23"/>
  <c r="R240" i="23" s="1"/>
  <c r="S240" i="23" s="1"/>
  <c r="Q241" i="23"/>
  <c r="R241" i="23" s="1"/>
  <c r="S241" i="23" s="1"/>
  <c r="Q242" i="23"/>
  <c r="R242" i="23" s="1"/>
  <c r="S242" i="23" s="1"/>
  <c r="Q251" i="23"/>
  <c r="R251" i="23" s="1"/>
  <c r="S251" i="23" s="1"/>
  <c r="Q252" i="23"/>
  <c r="R252" i="23" s="1"/>
  <c r="S252" i="23" s="1"/>
  <c r="Q253" i="23"/>
  <c r="R253" i="23" s="1"/>
  <c r="S253" i="23" s="1"/>
  <c r="Q254" i="23"/>
  <c r="R254" i="23" s="1"/>
  <c r="S254" i="23" s="1"/>
  <c r="Q257" i="23"/>
  <c r="R257" i="23" s="1"/>
  <c r="S257" i="23" s="1"/>
  <c r="Q258" i="23"/>
  <c r="R258" i="23" s="1"/>
  <c r="S258" i="23" s="1"/>
  <c r="Q262" i="23"/>
  <c r="R262" i="23" s="1"/>
  <c r="S262" i="23" s="1"/>
  <c r="Q263" i="23"/>
  <c r="R263" i="23" s="1"/>
  <c r="S263" i="23" s="1"/>
  <c r="Q264" i="23"/>
  <c r="R264" i="23" s="1"/>
  <c r="S264" i="23" s="1"/>
  <c r="Q265" i="23"/>
  <c r="R265" i="23" s="1"/>
  <c r="S265" i="23" s="1"/>
  <c r="Q266" i="23"/>
  <c r="R266" i="23" s="1"/>
  <c r="S266" i="23" s="1"/>
  <c r="Q267" i="23"/>
  <c r="R267" i="23" s="1"/>
  <c r="S267" i="23" s="1"/>
  <c r="Q270" i="23"/>
  <c r="R270" i="23" s="1"/>
  <c r="S270" i="23" s="1"/>
  <c r="Q271" i="23"/>
  <c r="R271" i="23" s="1"/>
  <c r="S271" i="23" s="1"/>
  <c r="Q272" i="23"/>
  <c r="R272" i="23" s="1"/>
  <c r="S272" i="23" s="1"/>
  <c r="Q273" i="23"/>
  <c r="R273" i="23" s="1"/>
  <c r="S273" i="23" s="1"/>
  <c r="Q276" i="23"/>
  <c r="R276" i="23" s="1"/>
  <c r="S276" i="23" s="1"/>
  <c r="Q277" i="23"/>
  <c r="R277" i="23" s="1"/>
  <c r="S277" i="23" s="1"/>
  <c r="Q278" i="23"/>
  <c r="R278" i="23" s="1"/>
  <c r="S278" i="23" s="1"/>
  <c r="Q279" i="23"/>
  <c r="R279" i="23" s="1"/>
  <c r="S279" i="23" s="1"/>
  <c r="Q282" i="23"/>
  <c r="R282" i="23" s="1"/>
  <c r="S282" i="23" s="1"/>
  <c r="Q283" i="23"/>
  <c r="R283" i="23" s="1"/>
  <c r="S283" i="23" s="1"/>
  <c r="Q284" i="23"/>
  <c r="R284" i="23" s="1"/>
  <c r="S284" i="23" s="1"/>
  <c r="Q285" i="23"/>
  <c r="R285" i="23" s="1"/>
  <c r="S285" i="23" s="1"/>
  <c r="Q288" i="23"/>
  <c r="R288" i="23" s="1"/>
  <c r="S288" i="23" s="1"/>
  <c r="Q289" i="23"/>
  <c r="R289" i="23" s="1"/>
  <c r="S289" i="23" s="1"/>
  <c r="Q294" i="23"/>
  <c r="R294" i="23" s="1"/>
  <c r="S294" i="23" s="1"/>
  <c r="Q295" i="23"/>
  <c r="R295" i="23" s="1"/>
  <c r="S295" i="23" s="1"/>
  <c r="Q298" i="23"/>
  <c r="R298" i="23" s="1"/>
  <c r="S298" i="23" s="1"/>
  <c r="Q299" i="23"/>
  <c r="R299" i="23" s="1"/>
  <c r="S299" i="23" s="1"/>
  <c r="Q302" i="23"/>
  <c r="R302" i="23" s="1"/>
  <c r="S302" i="23" s="1"/>
  <c r="Q303" i="23"/>
  <c r="R303" i="23" s="1"/>
  <c r="S303" i="23" s="1"/>
  <c r="Q304" i="23"/>
  <c r="R304" i="23" s="1"/>
  <c r="S304" i="23" s="1"/>
  <c r="Q305" i="23"/>
  <c r="R305" i="23" s="1"/>
  <c r="S305" i="23" s="1"/>
  <c r="Q306" i="23"/>
  <c r="R306" i="23" s="1"/>
  <c r="S306" i="23" s="1"/>
  <c r="Q307" i="23"/>
  <c r="R307" i="23" s="1"/>
  <c r="S307" i="23" s="1"/>
  <c r="Q308" i="23"/>
  <c r="R308" i="23" s="1"/>
  <c r="S308" i="23" s="1"/>
  <c r="Q309" i="23"/>
  <c r="R309" i="23" s="1"/>
  <c r="S309" i="23" s="1"/>
  <c r="Q310" i="23"/>
  <c r="R310" i="23" s="1"/>
  <c r="S310" i="23" s="1"/>
  <c r="Q311" i="23"/>
  <c r="R311" i="23" s="1"/>
  <c r="S311" i="23" s="1"/>
  <c r="Q312" i="23"/>
  <c r="R312" i="23" s="1"/>
  <c r="S312" i="23" s="1"/>
  <c r="Q313" i="23"/>
  <c r="R313" i="23" s="1"/>
  <c r="S313" i="23" s="1"/>
  <c r="Q314" i="23"/>
  <c r="R314" i="23" s="1"/>
  <c r="S314" i="23" s="1"/>
  <c r="Q315" i="23"/>
  <c r="R315" i="23" s="1"/>
  <c r="S315" i="23" s="1"/>
  <c r="Q99" i="23"/>
  <c r="R99" i="23" s="1"/>
  <c r="S99" i="23" s="1"/>
  <c r="Q127" i="23"/>
  <c r="R127" i="23" s="1"/>
  <c r="S127" i="23" s="1"/>
  <c r="Q129" i="23"/>
  <c r="R129" i="23" s="1"/>
  <c r="S129" i="23" s="1"/>
  <c r="Q140" i="23"/>
  <c r="R140" i="23" s="1"/>
  <c r="S140" i="23" s="1"/>
  <c r="Q161" i="23"/>
  <c r="R161" i="23" s="1"/>
  <c r="S161" i="23" s="1"/>
  <c r="Q164" i="23"/>
  <c r="R164" i="23" s="1"/>
  <c r="S164" i="23" s="1"/>
  <c r="Q180" i="23"/>
  <c r="R180" i="23" s="1"/>
  <c r="S180" i="23" s="1"/>
  <c r="Q184" i="23"/>
  <c r="R184" i="23" s="1"/>
  <c r="S184" i="23" s="1"/>
  <c r="Q199" i="23"/>
  <c r="R199" i="23" s="1"/>
  <c r="S199" i="23" s="1"/>
  <c r="Q200" i="23"/>
  <c r="R200" i="23" s="1"/>
  <c r="S200" i="23" s="1"/>
  <c r="Q212" i="23"/>
  <c r="R212" i="23" s="1"/>
  <c r="S212" i="23" s="1"/>
  <c r="Q213" i="23"/>
  <c r="R213" i="23" s="1"/>
  <c r="S213" i="23" s="1"/>
  <c r="Q218" i="23"/>
  <c r="R218" i="23" s="1"/>
  <c r="S218" i="23" s="1"/>
  <c r="Q219" i="23"/>
  <c r="R219" i="23" s="1"/>
  <c r="S219" i="23" s="1"/>
  <c r="Q220" i="23"/>
  <c r="R220" i="23" s="1"/>
  <c r="S220" i="23" s="1"/>
  <c r="Q221" i="23"/>
  <c r="R221" i="23" s="1"/>
  <c r="S221" i="23" s="1"/>
  <c r="Q223" i="23"/>
  <c r="R223" i="23" s="1"/>
  <c r="S223" i="23" s="1"/>
  <c r="Q224" i="23"/>
  <c r="R224" i="23" s="1"/>
  <c r="S224" i="23" s="1"/>
  <c r="Q226" i="23"/>
  <c r="R226" i="23" s="1"/>
  <c r="S226" i="23" s="1"/>
  <c r="Q227" i="23"/>
  <c r="R227" i="23" s="1"/>
  <c r="S227" i="23" s="1"/>
  <c r="Q232" i="23"/>
  <c r="R232" i="23" s="1"/>
  <c r="S232" i="23" s="1"/>
  <c r="Q236" i="23"/>
  <c r="R236" i="23" s="1"/>
  <c r="S236" i="23" s="1"/>
  <c r="Q243" i="23"/>
  <c r="R243" i="23" s="1"/>
  <c r="S243" i="23" s="1"/>
  <c r="Q244" i="23"/>
  <c r="R244" i="23" s="1"/>
  <c r="S244" i="23" s="1"/>
  <c r="Q245" i="23"/>
  <c r="R245" i="23" s="1"/>
  <c r="S245" i="23" s="1"/>
  <c r="Q246" i="23"/>
  <c r="R246" i="23" s="1"/>
  <c r="S246" i="23" s="1"/>
  <c r="Q247" i="23"/>
  <c r="R247" i="23" s="1"/>
  <c r="S247" i="23" s="1"/>
  <c r="Q248" i="23"/>
  <c r="R248" i="23" s="1"/>
  <c r="S248" i="23" s="1"/>
  <c r="Q249" i="23"/>
  <c r="R249" i="23" s="1"/>
  <c r="S249" i="23" s="1"/>
  <c r="Q250" i="23"/>
  <c r="R250" i="23" s="1"/>
  <c r="S250" i="23" s="1"/>
  <c r="Q255" i="23"/>
  <c r="R255" i="23" s="1"/>
  <c r="S255" i="23" s="1"/>
  <c r="Q256" i="23"/>
  <c r="R256" i="23" s="1"/>
  <c r="S256" i="23" s="1"/>
  <c r="Q259" i="23"/>
  <c r="R259" i="23" s="1"/>
  <c r="S259" i="23" s="1"/>
  <c r="Q260" i="23"/>
  <c r="R260" i="23" s="1"/>
  <c r="S260" i="23" s="1"/>
  <c r="Q261" i="23"/>
  <c r="R261" i="23" s="1"/>
  <c r="S261" i="23" s="1"/>
  <c r="Q268" i="23"/>
  <c r="R268" i="23" s="1"/>
  <c r="S268" i="23" s="1"/>
  <c r="Q269" i="23"/>
  <c r="R269" i="23" s="1"/>
  <c r="S269" i="23" s="1"/>
  <c r="Q274" i="23"/>
  <c r="R274" i="23" s="1"/>
  <c r="S274" i="23" s="1"/>
  <c r="Q275" i="23"/>
  <c r="R275" i="23" s="1"/>
  <c r="S275" i="23" s="1"/>
  <c r="Q280" i="23"/>
  <c r="R280" i="23" s="1"/>
  <c r="S280" i="23" s="1"/>
  <c r="Q281" i="23"/>
  <c r="R281" i="23" s="1"/>
  <c r="S281" i="23" s="1"/>
  <c r="Q286" i="23"/>
  <c r="R286" i="23" s="1"/>
  <c r="S286" i="23" s="1"/>
  <c r="Q287" i="23"/>
  <c r="R287" i="23" s="1"/>
  <c r="S287" i="23" s="1"/>
  <c r="Q290" i="23"/>
  <c r="R290" i="23" s="1"/>
  <c r="S290" i="23" s="1"/>
  <c r="Q291" i="23"/>
  <c r="R291" i="23" s="1"/>
  <c r="S291" i="23" s="1"/>
  <c r="Q292" i="23"/>
  <c r="R292" i="23" s="1"/>
  <c r="S292" i="23" s="1"/>
  <c r="Q293" i="23"/>
  <c r="R293" i="23" s="1"/>
  <c r="S293" i="23" s="1"/>
  <c r="Q296" i="23"/>
  <c r="R296" i="23" s="1"/>
  <c r="S296" i="23" s="1"/>
  <c r="Q297" i="23"/>
  <c r="R297" i="23" s="1"/>
  <c r="S297" i="23" s="1"/>
  <c r="Q300" i="23"/>
  <c r="R300" i="23" s="1"/>
  <c r="S300" i="23" s="1"/>
  <c r="Q301" i="23"/>
  <c r="R301" i="23" s="1"/>
  <c r="S301" i="23" s="1"/>
  <c r="Q316" i="23"/>
  <c r="R316" i="23" s="1"/>
  <c r="S316" i="23" s="1"/>
  <c r="Q317" i="23"/>
  <c r="R317" i="23" s="1"/>
  <c r="S317" i="23" s="1"/>
  <c r="Q318" i="23"/>
  <c r="R318" i="23" s="1"/>
  <c r="S318" i="23" s="1"/>
  <c r="Q322" i="23"/>
  <c r="R322" i="23" s="1"/>
  <c r="S322" i="23" s="1"/>
  <c r="Q321" i="23"/>
  <c r="R321" i="23" s="1"/>
  <c r="S321" i="23" s="1"/>
  <c r="Q319" i="23"/>
  <c r="R319" i="23" s="1"/>
  <c r="S319" i="23" s="1"/>
  <c r="Q320" i="23"/>
  <c r="R320" i="23" s="1"/>
  <c r="S320" i="23" s="1"/>
  <c r="Q23" i="23"/>
  <c r="R23" i="23" s="1"/>
  <c r="V26" i="23"/>
  <c r="W26" i="23" s="1"/>
  <c r="V27" i="23"/>
  <c r="W27" i="23" s="1"/>
  <c r="V28" i="23"/>
  <c r="W28" i="23" s="1"/>
  <c r="V29" i="23"/>
  <c r="W29" i="23" s="1"/>
  <c r="V30" i="23"/>
  <c r="W30" i="23" s="1"/>
  <c r="V31" i="23"/>
  <c r="W31" i="23" s="1"/>
  <c r="V35" i="23"/>
  <c r="W35" i="23" s="1"/>
  <c r="V36" i="23"/>
  <c r="W36" i="23" s="1"/>
  <c r="V41" i="23"/>
  <c r="W41" i="23" s="1"/>
  <c r="V42" i="23"/>
  <c r="W42" i="23" s="1"/>
  <c r="V24" i="23"/>
  <c r="W24" i="23" s="1"/>
  <c r="V32" i="23"/>
  <c r="W32" i="23" s="1"/>
  <c r="V33" i="23"/>
  <c r="W33" i="23" s="1"/>
  <c r="V37" i="23"/>
  <c r="W37" i="23" s="1"/>
  <c r="V38" i="23"/>
  <c r="W38" i="23" s="1"/>
  <c r="V40" i="23"/>
  <c r="W40" i="23" s="1"/>
  <c r="V25" i="23"/>
  <c r="W25" i="23" s="1"/>
  <c r="V34" i="23"/>
  <c r="W34" i="23" s="1"/>
  <c r="V43" i="23"/>
  <c r="W43" i="23" s="1"/>
  <c r="V44" i="23"/>
  <c r="W44" i="23" s="1"/>
  <c r="V45" i="23"/>
  <c r="W45" i="23" s="1"/>
  <c r="V46" i="23"/>
  <c r="W46" i="23" s="1"/>
  <c r="V47" i="23"/>
  <c r="W47" i="23" s="1"/>
  <c r="V48" i="23"/>
  <c r="W48" i="23" s="1"/>
  <c r="V49" i="23"/>
  <c r="W49" i="23" s="1"/>
  <c r="V50" i="23"/>
  <c r="W50" i="23" s="1"/>
  <c r="V53" i="23"/>
  <c r="W53" i="23" s="1"/>
  <c r="V54" i="23"/>
  <c r="W54" i="23" s="1"/>
  <c r="V63" i="23"/>
  <c r="W63" i="23" s="1"/>
  <c r="V64" i="23"/>
  <c r="W64" i="23" s="1"/>
  <c r="V65" i="23"/>
  <c r="W65" i="23" s="1"/>
  <c r="V66" i="23"/>
  <c r="W66" i="23" s="1"/>
  <c r="V67" i="23"/>
  <c r="W67" i="23" s="1"/>
  <c r="V51" i="23"/>
  <c r="W51" i="23" s="1"/>
  <c r="V56" i="23"/>
  <c r="W56" i="23" s="1"/>
  <c r="V58" i="23"/>
  <c r="W58" i="23" s="1"/>
  <c r="V60" i="23"/>
  <c r="W60" i="23" s="1"/>
  <c r="V62" i="23"/>
  <c r="W62" i="23" s="1"/>
  <c r="V39" i="23"/>
  <c r="W39" i="23" s="1"/>
  <c r="V55" i="23"/>
  <c r="W55" i="23" s="1"/>
  <c r="V57" i="23"/>
  <c r="W57" i="23" s="1"/>
  <c r="V59" i="23"/>
  <c r="W59" i="23" s="1"/>
  <c r="V61" i="23"/>
  <c r="W61" i="23" s="1"/>
  <c r="V69" i="23"/>
  <c r="W69" i="23" s="1"/>
  <c r="V70" i="23"/>
  <c r="W70" i="23" s="1"/>
  <c r="V71" i="23"/>
  <c r="W71" i="23" s="1"/>
  <c r="V72" i="23"/>
  <c r="W72" i="23" s="1"/>
  <c r="V77" i="23"/>
  <c r="W77" i="23" s="1"/>
  <c r="V79" i="23"/>
  <c r="W79" i="23" s="1"/>
  <c r="V80" i="23"/>
  <c r="W80" i="23" s="1"/>
  <c r="V81" i="23"/>
  <c r="W81" i="23" s="1"/>
  <c r="V84" i="23"/>
  <c r="W84" i="23" s="1"/>
  <c r="V85" i="23"/>
  <c r="W85" i="23" s="1"/>
  <c r="V87" i="23"/>
  <c r="W87" i="23" s="1"/>
  <c r="V90" i="23"/>
  <c r="W90" i="23" s="1"/>
  <c r="V92" i="23"/>
  <c r="W92" i="23" s="1"/>
  <c r="V96" i="23"/>
  <c r="W96" i="23" s="1"/>
  <c r="V98" i="23"/>
  <c r="W98" i="23" s="1"/>
  <c r="V100" i="23"/>
  <c r="W100" i="23" s="1"/>
  <c r="V102" i="23"/>
  <c r="W102" i="23" s="1"/>
  <c r="V104" i="23"/>
  <c r="W104" i="23" s="1"/>
  <c r="V106" i="23"/>
  <c r="W106" i="23" s="1"/>
  <c r="V108" i="23"/>
  <c r="W108" i="23" s="1"/>
  <c r="V111" i="23"/>
  <c r="W111" i="23" s="1"/>
  <c r="V112" i="23"/>
  <c r="W112" i="23" s="1"/>
  <c r="V113" i="23"/>
  <c r="W113" i="23" s="1"/>
  <c r="V115" i="23"/>
  <c r="W115" i="23" s="1"/>
  <c r="V116" i="23"/>
  <c r="W116" i="23" s="1"/>
  <c r="V117" i="23"/>
  <c r="W117" i="23" s="1"/>
  <c r="V120" i="23"/>
  <c r="W120" i="23" s="1"/>
  <c r="V121" i="23"/>
  <c r="W121" i="23" s="1"/>
  <c r="V123" i="23"/>
  <c r="W123" i="23" s="1"/>
  <c r="V52" i="23"/>
  <c r="W52" i="23" s="1"/>
  <c r="V68" i="23"/>
  <c r="W68" i="23" s="1"/>
  <c r="V73" i="23"/>
  <c r="W73" i="23" s="1"/>
  <c r="V74" i="23"/>
  <c r="W74" i="23" s="1"/>
  <c r="V75" i="23"/>
  <c r="W75" i="23" s="1"/>
  <c r="V76" i="23"/>
  <c r="W76" i="23" s="1"/>
  <c r="V78" i="23"/>
  <c r="W78" i="23" s="1"/>
  <c r="V82" i="23"/>
  <c r="W82" i="23" s="1"/>
  <c r="V83" i="23"/>
  <c r="W83" i="23" s="1"/>
  <c r="V86" i="23"/>
  <c r="W86" i="23" s="1"/>
  <c r="V88" i="23"/>
  <c r="W88" i="23" s="1"/>
  <c r="V89" i="23"/>
  <c r="W89" i="23" s="1"/>
  <c r="V91" i="23"/>
  <c r="W91" i="23" s="1"/>
  <c r="V93" i="23"/>
  <c r="W93" i="23" s="1"/>
  <c r="V95" i="23"/>
  <c r="W95" i="23" s="1"/>
  <c r="V101" i="23"/>
  <c r="W101" i="23" s="1"/>
  <c r="V103" i="23"/>
  <c r="W103" i="23" s="1"/>
  <c r="V109" i="23"/>
  <c r="W109" i="23" s="1"/>
  <c r="V110" i="23"/>
  <c r="W110" i="23" s="1"/>
  <c r="V118" i="23"/>
  <c r="W118" i="23" s="1"/>
  <c r="V119" i="23"/>
  <c r="W119" i="23" s="1"/>
  <c r="V126" i="23"/>
  <c r="W126" i="23" s="1"/>
  <c r="V128" i="23"/>
  <c r="W128" i="23" s="1"/>
  <c r="V129" i="23"/>
  <c r="W129" i="23" s="1"/>
  <c r="V131" i="23"/>
  <c r="W131" i="23" s="1"/>
  <c r="V132" i="23"/>
  <c r="W132" i="23" s="1"/>
  <c r="V133" i="23"/>
  <c r="W133" i="23" s="1"/>
  <c r="V136" i="23"/>
  <c r="W136" i="23" s="1"/>
  <c r="V137" i="23"/>
  <c r="W137" i="23" s="1"/>
  <c r="V139" i="23"/>
  <c r="W139" i="23" s="1"/>
  <c r="V140" i="23"/>
  <c r="W140" i="23" s="1"/>
  <c r="V141" i="23"/>
  <c r="W141" i="23" s="1"/>
  <c r="V148" i="23"/>
  <c r="W148" i="23" s="1"/>
  <c r="V149" i="23"/>
  <c r="W149" i="23" s="1"/>
  <c r="V152" i="23"/>
  <c r="W152" i="23" s="1"/>
  <c r="V153" i="23"/>
  <c r="W153" i="23" s="1"/>
  <c r="V156" i="23"/>
  <c r="W156" i="23" s="1"/>
  <c r="V157" i="23"/>
  <c r="W157" i="23" s="1"/>
  <c r="V160" i="23"/>
  <c r="W160" i="23" s="1"/>
  <c r="V161" i="23"/>
  <c r="W161" i="23" s="1"/>
  <c r="V164" i="23"/>
  <c r="W164" i="23" s="1"/>
  <c r="V165" i="23"/>
  <c r="W165" i="23" s="1"/>
  <c r="V168" i="23"/>
  <c r="W168" i="23" s="1"/>
  <c r="V169" i="23"/>
  <c r="W169" i="23" s="1"/>
  <c r="V172" i="23"/>
  <c r="W172" i="23" s="1"/>
  <c r="V173" i="23"/>
  <c r="W173" i="23" s="1"/>
  <c r="V175" i="23"/>
  <c r="W175" i="23" s="1"/>
  <c r="V99" i="23"/>
  <c r="W99" i="23" s="1"/>
  <c r="V105" i="23"/>
  <c r="W105" i="23" s="1"/>
  <c r="V114" i="23"/>
  <c r="W114" i="23" s="1"/>
  <c r="V124" i="23"/>
  <c r="W124" i="23" s="1"/>
  <c r="V134" i="23"/>
  <c r="W134" i="23" s="1"/>
  <c r="V135" i="23"/>
  <c r="W135" i="23" s="1"/>
  <c r="V142" i="23"/>
  <c r="W142" i="23" s="1"/>
  <c r="V144" i="23"/>
  <c r="W144" i="23" s="1"/>
  <c r="V146" i="23"/>
  <c r="W146" i="23" s="1"/>
  <c r="V150" i="23"/>
  <c r="W150" i="23" s="1"/>
  <c r="V155" i="23"/>
  <c r="W155" i="23" s="1"/>
  <c r="V158" i="23"/>
  <c r="W158" i="23" s="1"/>
  <c r="V163" i="23"/>
  <c r="W163" i="23" s="1"/>
  <c r="V166" i="23"/>
  <c r="W166" i="23" s="1"/>
  <c r="V171" i="23"/>
  <c r="W171" i="23" s="1"/>
  <c r="V174" i="23"/>
  <c r="W174" i="23" s="1"/>
  <c r="V178" i="23"/>
  <c r="W178" i="23" s="1"/>
  <c r="V179" i="23"/>
  <c r="W179" i="23" s="1"/>
  <c r="V180" i="23"/>
  <c r="W180" i="23" s="1"/>
  <c r="V181" i="23"/>
  <c r="W181" i="23" s="1"/>
  <c r="V183" i="23"/>
  <c r="W183" i="23" s="1"/>
  <c r="V187" i="23"/>
  <c r="W187" i="23" s="1"/>
  <c r="V192" i="23"/>
  <c r="W192" i="23" s="1"/>
  <c r="V193" i="23"/>
  <c r="W193" i="23" s="1"/>
  <c r="V194" i="23"/>
  <c r="W194" i="23" s="1"/>
  <c r="V196" i="23"/>
  <c r="W196" i="23" s="1"/>
  <c r="V197" i="23"/>
  <c r="W197" i="23" s="1"/>
  <c r="V198" i="23"/>
  <c r="W198" i="23" s="1"/>
  <c r="V199" i="23"/>
  <c r="W199" i="23" s="1"/>
  <c r="V205" i="23"/>
  <c r="W205" i="23" s="1"/>
  <c r="V206" i="23"/>
  <c r="W206" i="23" s="1"/>
  <c r="V209" i="23"/>
  <c r="W209" i="23" s="1"/>
  <c r="V210" i="23"/>
  <c r="W210" i="23" s="1"/>
  <c r="V212" i="23"/>
  <c r="W212" i="23" s="1"/>
  <c r="V97" i="23"/>
  <c r="W97" i="23" s="1"/>
  <c r="V107" i="23"/>
  <c r="W107" i="23" s="1"/>
  <c r="V122" i="23"/>
  <c r="W122" i="23" s="1"/>
  <c r="V125" i="23"/>
  <c r="W125" i="23" s="1"/>
  <c r="V127" i="23"/>
  <c r="W127" i="23" s="1"/>
  <c r="V130" i="23"/>
  <c r="W130" i="23" s="1"/>
  <c r="V159" i="23"/>
  <c r="W159" i="23" s="1"/>
  <c r="V162" i="23"/>
  <c r="W162" i="23" s="1"/>
  <c r="V176" i="23"/>
  <c r="W176" i="23" s="1"/>
  <c r="V182" i="23"/>
  <c r="W182" i="23" s="1"/>
  <c r="V184" i="23"/>
  <c r="W184" i="23" s="1"/>
  <c r="V189" i="23"/>
  <c r="W189" i="23" s="1"/>
  <c r="V190" i="23"/>
  <c r="W190" i="23" s="1"/>
  <c r="V200" i="23"/>
  <c r="W200" i="23" s="1"/>
  <c r="V214" i="23"/>
  <c r="W214" i="23" s="1"/>
  <c r="V215" i="23"/>
  <c r="W215" i="23" s="1"/>
  <c r="V217" i="23"/>
  <c r="W217" i="23" s="1"/>
  <c r="V220" i="23"/>
  <c r="W220" i="23" s="1"/>
  <c r="V222" i="23"/>
  <c r="W222" i="23" s="1"/>
  <c r="V224" i="23"/>
  <c r="W224" i="23" s="1"/>
  <c r="V226" i="23"/>
  <c r="W226" i="23" s="1"/>
  <c r="V227" i="23"/>
  <c r="W227" i="23" s="1"/>
  <c r="V228" i="23"/>
  <c r="W228" i="23" s="1"/>
  <c r="V229" i="23"/>
  <c r="W229" i="23" s="1"/>
  <c r="V231" i="23"/>
  <c r="W231" i="23" s="1"/>
  <c r="V232" i="23"/>
  <c r="W232" i="23" s="1"/>
  <c r="V233" i="23"/>
  <c r="W233" i="23" s="1"/>
  <c r="V235" i="23"/>
  <c r="W235" i="23" s="1"/>
  <c r="V236" i="23"/>
  <c r="W236" i="23" s="1"/>
  <c r="V237" i="23"/>
  <c r="W237" i="23" s="1"/>
  <c r="V240" i="23"/>
  <c r="W240" i="23" s="1"/>
  <c r="V241" i="23"/>
  <c r="W241" i="23" s="1"/>
  <c r="V242" i="23"/>
  <c r="W242" i="23" s="1"/>
  <c r="V243" i="23"/>
  <c r="W243" i="23" s="1"/>
  <c r="V247" i="23"/>
  <c r="W247" i="23" s="1"/>
  <c r="V252" i="23"/>
  <c r="W252" i="23" s="1"/>
  <c r="V253" i="23"/>
  <c r="W253" i="23" s="1"/>
  <c r="V254" i="23"/>
  <c r="W254" i="23" s="1"/>
  <c r="V255" i="23"/>
  <c r="W255" i="23" s="1"/>
  <c r="V257" i="23"/>
  <c r="W257" i="23" s="1"/>
  <c r="V258" i="23"/>
  <c r="W258" i="23" s="1"/>
  <c r="V259" i="23"/>
  <c r="W259" i="23" s="1"/>
  <c r="V261" i="23"/>
  <c r="W261" i="23" s="1"/>
  <c r="V262" i="23"/>
  <c r="W262" i="23" s="1"/>
  <c r="V264" i="23"/>
  <c r="W264" i="23" s="1"/>
  <c r="V265" i="23"/>
  <c r="W265" i="23" s="1"/>
  <c r="V267" i="23"/>
  <c r="W267" i="23" s="1"/>
  <c r="V271" i="23"/>
  <c r="W271" i="23" s="1"/>
  <c r="V272" i="23"/>
  <c r="W272" i="23" s="1"/>
  <c r="V273" i="23"/>
  <c r="W273" i="23" s="1"/>
  <c r="V274" i="23"/>
  <c r="W274" i="23" s="1"/>
  <c r="V276" i="23"/>
  <c r="W276" i="23" s="1"/>
  <c r="V277" i="23"/>
  <c r="W277" i="23" s="1"/>
  <c r="V279" i="23"/>
  <c r="W279" i="23" s="1"/>
  <c r="V283" i="23"/>
  <c r="W283" i="23" s="1"/>
  <c r="V284" i="23"/>
  <c r="W284" i="23" s="1"/>
  <c r="V285" i="23"/>
  <c r="W285" i="23" s="1"/>
  <c r="V286" i="23"/>
  <c r="W286" i="23" s="1"/>
  <c r="V288" i="23"/>
  <c r="W288" i="23" s="1"/>
  <c r="V289" i="23"/>
  <c r="W289" i="23" s="1"/>
  <c r="V290" i="23"/>
  <c r="W290" i="23" s="1"/>
  <c r="V295" i="23"/>
  <c r="W295" i="23" s="1"/>
  <c r="V299" i="23"/>
  <c r="W299" i="23" s="1"/>
  <c r="V303" i="23"/>
  <c r="W303" i="23" s="1"/>
  <c r="V304" i="23"/>
  <c r="W304" i="23" s="1"/>
  <c r="V305" i="23"/>
  <c r="W305" i="23" s="1"/>
  <c r="V307" i="23"/>
  <c r="W307" i="23" s="1"/>
  <c r="V308" i="23"/>
  <c r="W308" i="23" s="1"/>
  <c r="V309" i="23"/>
  <c r="W309" i="23" s="1"/>
  <c r="V311" i="23"/>
  <c r="W311" i="23" s="1"/>
  <c r="V312" i="23"/>
  <c r="W312" i="23" s="1"/>
  <c r="V313" i="23"/>
  <c r="W313" i="23" s="1"/>
  <c r="V315" i="23"/>
  <c r="W315" i="23" s="1"/>
  <c r="V94" i="23"/>
  <c r="W94" i="23" s="1"/>
  <c r="V138" i="23"/>
  <c r="W138" i="23" s="1"/>
  <c r="V143" i="23"/>
  <c r="W143" i="23" s="1"/>
  <c r="V145" i="23"/>
  <c r="W145" i="23" s="1"/>
  <c r="V147" i="23"/>
  <c r="W147" i="23" s="1"/>
  <c r="V151" i="23"/>
  <c r="W151" i="23" s="1"/>
  <c r="V154" i="23"/>
  <c r="W154" i="23" s="1"/>
  <c r="V167" i="23"/>
  <c r="W167" i="23" s="1"/>
  <c r="V170" i="23"/>
  <c r="W170" i="23" s="1"/>
  <c r="V177" i="23"/>
  <c r="W177" i="23" s="1"/>
  <c r="V185" i="23"/>
  <c r="W185" i="23" s="1"/>
  <c r="V186" i="23"/>
  <c r="W186" i="23" s="1"/>
  <c r="V188" i="23"/>
  <c r="W188" i="23" s="1"/>
  <c r="V191" i="23"/>
  <c r="W191" i="23" s="1"/>
  <c r="V195" i="23"/>
  <c r="W195" i="23" s="1"/>
  <c r="V201" i="23"/>
  <c r="W201" i="23" s="1"/>
  <c r="V202" i="23"/>
  <c r="W202" i="23" s="1"/>
  <c r="V203" i="23"/>
  <c r="W203" i="23" s="1"/>
  <c r="V204" i="23"/>
  <c r="W204" i="23" s="1"/>
  <c r="V207" i="23"/>
  <c r="W207" i="23" s="1"/>
  <c r="V208" i="23"/>
  <c r="W208" i="23" s="1"/>
  <c r="V211" i="23"/>
  <c r="W211" i="23" s="1"/>
  <c r="V213" i="23"/>
  <c r="W213" i="23" s="1"/>
  <c r="V216" i="23"/>
  <c r="W216" i="23" s="1"/>
  <c r="V218" i="23"/>
  <c r="W218" i="23" s="1"/>
  <c r="V219" i="23"/>
  <c r="W219" i="23" s="1"/>
  <c r="V221" i="23"/>
  <c r="W221" i="23" s="1"/>
  <c r="V223" i="23"/>
  <c r="W223" i="23" s="1"/>
  <c r="V225" i="23"/>
  <c r="W225" i="23" s="1"/>
  <c r="V230" i="23"/>
  <c r="W230" i="23" s="1"/>
  <c r="V234" i="23"/>
  <c r="W234" i="23" s="1"/>
  <c r="V238" i="23"/>
  <c r="W238" i="23" s="1"/>
  <c r="V239" i="23"/>
  <c r="W239" i="23" s="1"/>
  <c r="V244" i="23"/>
  <c r="W244" i="23" s="1"/>
  <c r="V245" i="23"/>
  <c r="W245" i="23" s="1"/>
  <c r="V246" i="23"/>
  <c r="W246" i="23" s="1"/>
  <c r="V248" i="23"/>
  <c r="W248" i="23" s="1"/>
  <c r="V249" i="23"/>
  <c r="W249" i="23" s="1"/>
  <c r="V250" i="23"/>
  <c r="W250" i="23" s="1"/>
  <c r="V251" i="23"/>
  <c r="W251" i="23" s="1"/>
  <c r="V256" i="23"/>
  <c r="W256" i="23" s="1"/>
  <c r="V260" i="23"/>
  <c r="W260" i="23" s="1"/>
  <c r="V263" i="23"/>
  <c r="W263" i="23" s="1"/>
  <c r="V266" i="23"/>
  <c r="W266" i="23" s="1"/>
  <c r="V268" i="23"/>
  <c r="W268" i="23" s="1"/>
  <c r="V269" i="23"/>
  <c r="W269" i="23" s="1"/>
  <c r="V270" i="23"/>
  <c r="W270" i="23" s="1"/>
  <c r="V275" i="23"/>
  <c r="W275" i="23" s="1"/>
  <c r="V278" i="23"/>
  <c r="W278" i="23" s="1"/>
  <c r="V280" i="23"/>
  <c r="W280" i="23" s="1"/>
  <c r="V281" i="23"/>
  <c r="W281" i="23" s="1"/>
  <c r="V282" i="23"/>
  <c r="W282" i="23" s="1"/>
  <c r="V287" i="23"/>
  <c r="W287" i="23" s="1"/>
  <c r="V291" i="23"/>
  <c r="W291" i="23" s="1"/>
  <c r="V292" i="23"/>
  <c r="W292" i="23" s="1"/>
  <c r="V293" i="23"/>
  <c r="W293" i="23" s="1"/>
  <c r="V294" i="23"/>
  <c r="W294" i="23" s="1"/>
  <c r="V296" i="23"/>
  <c r="W296" i="23" s="1"/>
  <c r="V297" i="23"/>
  <c r="W297" i="23" s="1"/>
  <c r="V298" i="23"/>
  <c r="W298" i="23" s="1"/>
  <c r="V300" i="23"/>
  <c r="W300" i="23" s="1"/>
  <c r="V301" i="23"/>
  <c r="W301" i="23" s="1"/>
  <c r="V302" i="23"/>
  <c r="W302" i="23" s="1"/>
  <c r="V306" i="23"/>
  <c r="W306" i="23" s="1"/>
  <c r="V310" i="23"/>
  <c r="W310" i="23" s="1"/>
  <c r="V314" i="23"/>
  <c r="W314" i="23" s="1"/>
  <c r="V316" i="23"/>
  <c r="W316" i="23" s="1"/>
  <c r="V318" i="23"/>
  <c r="W318" i="23" s="1"/>
  <c r="V319" i="23"/>
  <c r="W319" i="23" s="1"/>
  <c r="V321" i="23"/>
  <c r="W321" i="23" s="1"/>
  <c r="V322" i="23"/>
  <c r="W322" i="23" s="1"/>
  <c r="V23" i="23"/>
  <c r="V317" i="23"/>
  <c r="W317" i="23" s="1"/>
  <c r="V320" i="23"/>
  <c r="W320" i="23" s="1"/>
  <c r="Z24" i="23"/>
  <c r="AA24" i="23" s="1"/>
  <c r="Z27" i="23"/>
  <c r="AA27" i="23" s="1"/>
  <c r="Z28" i="23"/>
  <c r="AA28" i="23" s="1"/>
  <c r="Z30" i="23"/>
  <c r="AA30" i="23" s="1"/>
  <c r="Z29" i="23"/>
  <c r="AA29" i="23" s="1"/>
  <c r="Z31" i="23"/>
  <c r="AA31" i="23" s="1"/>
  <c r="Z32" i="23"/>
  <c r="AA32" i="23" s="1"/>
  <c r="Z34" i="23"/>
  <c r="AA34" i="23" s="1"/>
  <c r="Z35" i="23"/>
  <c r="AA35" i="23" s="1"/>
  <c r="Z40" i="23"/>
  <c r="AA40" i="23" s="1"/>
  <c r="Z41" i="23"/>
  <c r="AA41" i="23" s="1"/>
  <c r="Z25" i="23"/>
  <c r="AA25" i="23" s="1"/>
  <c r="Z26" i="23"/>
  <c r="AA26" i="23" s="1"/>
  <c r="Z33" i="23"/>
  <c r="AA33" i="23" s="1"/>
  <c r="Z37" i="23"/>
  <c r="AA37" i="23" s="1"/>
  <c r="Z38" i="23"/>
  <c r="AA38" i="23" s="1"/>
  <c r="Z39" i="23"/>
  <c r="AA39" i="23" s="1"/>
  <c r="Z43" i="23"/>
  <c r="AA43" i="23" s="1"/>
  <c r="Z45" i="23"/>
  <c r="AA45" i="23" s="1"/>
  <c r="Z47" i="23"/>
  <c r="AA47" i="23" s="1"/>
  <c r="Z49" i="23"/>
  <c r="AA49" i="23" s="1"/>
  <c r="Z52" i="23"/>
  <c r="AA52" i="23" s="1"/>
  <c r="Z53" i="23"/>
  <c r="AA53" i="23" s="1"/>
  <c r="Z56" i="23"/>
  <c r="AA56" i="23" s="1"/>
  <c r="Z58" i="23"/>
  <c r="AA58" i="23" s="1"/>
  <c r="Z60" i="23"/>
  <c r="AA60" i="23" s="1"/>
  <c r="Z62" i="23"/>
  <c r="AA62" i="23" s="1"/>
  <c r="Z63" i="23"/>
  <c r="AA63" i="23" s="1"/>
  <c r="Z65" i="23"/>
  <c r="AA65" i="23" s="1"/>
  <c r="Z67" i="23"/>
  <c r="AA67" i="23" s="1"/>
  <c r="Z36" i="23"/>
  <c r="AA36" i="23" s="1"/>
  <c r="Z46" i="23"/>
  <c r="AA46" i="23" s="1"/>
  <c r="Z48" i="23"/>
  <c r="AA48" i="23" s="1"/>
  <c r="Z51" i="23"/>
  <c r="AA51" i="23" s="1"/>
  <c r="Z54" i="23"/>
  <c r="AA54" i="23" s="1"/>
  <c r="Z44" i="23"/>
  <c r="AA44" i="23" s="1"/>
  <c r="Z66" i="23"/>
  <c r="AA66" i="23" s="1"/>
  <c r="Z68" i="23"/>
  <c r="AA68" i="23" s="1"/>
  <c r="Z69" i="23"/>
  <c r="AA69" i="23" s="1"/>
  <c r="Z71" i="23"/>
  <c r="AA71" i="23" s="1"/>
  <c r="Z74" i="23"/>
  <c r="AA74" i="23" s="1"/>
  <c r="Z76" i="23"/>
  <c r="AA76" i="23" s="1"/>
  <c r="Z77" i="23"/>
  <c r="AA77" i="23" s="1"/>
  <c r="Z78" i="23"/>
  <c r="AA78" i="23" s="1"/>
  <c r="Z79" i="23"/>
  <c r="AA79" i="23" s="1"/>
  <c r="Z80" i="23"/>
  <c r="AA80" i="23" s="1"/>
  <c r="Z81" i="23"/>
  <c r="AA81" i="23" s="1"/>
  <c r="Z84" i="23"/>
  <c r="AA84" i="23" s="1"/>
  <c r="Z85" i="23"/>
  <c r="AA85" i="23" s="1"/>
  <c r="Z87" i="23"/>
  <c r="AA87" i="23" s="1"/>
  <c r="Z90" i="23"/>
  <c r="AA90" i="23" s="1"/>
  <c r="Z92" i="23"/>
  <c r="AA92" i="23" s="1"/>
  <c r="Z94" i="23"/>
  <c r="AA94" i="23" s="1"/>
  <c r="Z95" i="23"/>
  <c r="AA95" i="23" s="1"/>
  <c r="Z97" i="23"/>
  <c r="AA97" i="23" s="1"/>
  <c r="Z99" i="23"/>
  <c r="AA99" i="23" s="1"/>
  <c r="Z101" i="23"/>
  <c r="AA101" i="23" s="1"/>
  <c r="Z103" i="23"/>
  <c r="AA103" i="23" s="1"/>
  <c r="Z105" i="23"/>
  <c r="AA105" i="23" s="1"/>
  <c r="Z107" i="23"/>
  <c r="AA107" i="23" s="1"/>
  <c r="Z109" i="23"/>
  <c r="AA109" i="23" s="1"/>
  <c r="Z110" i="23"/>
  <c r="AA110" i="23" s="1"/>
  <c r="Z111" i="23"/>
  <c r="AA111" i="23" s="1"/>
  <c r="Z112" i="23"/>
  <c r="AA112" i="23" s="1"/>
  <c r="Z113" i="23"/>
  <c r="AA113" i="23" s="1"/>
  <c r="Z115" i="23"/>
  <c r="AA115" i="23" s="1"/>
  <c r="Z116" i="23"/>
  <c r="AA116" i="23" s="1"/>
  <c r="Z117" i="23"/>
  <c r="AA117" i="23" s="1"/>
  <c r="Z120" i="23"/>
  <c r="AA120" i="23" s="1"/>
  <c r="Z121" i="23"/>
  <c r="AA121" i="23" s="1"/>
  <c r="Z42" i="23"/>
  <c r="AA42" i="23" s="1"/>
  <c r="Z50" i="23"/>
  <c r="AA50" i="23" s="1"/>
  <c r="Z55" i="23"/>
  <c r="AA55" i="23" s="1"/>
  <c r="Z57" i="23"/>
  <c r="AA57" i="23" s="1"/>
  <c r="Z59" i="23"/>
  <c r="AA59" i="23" s="1"/>
  <c r="Z61" i="23"/>
  <c r="AA61" i="23" s="1"/>
  <c r="Z64" i="23"/>
  <c r="AA64" i="23" s="1"/>
  <c r="Z70" i="23"/>
  <c r="AA70" i="23" s="1"/>
  <c r="Z72" i="23"/>
  <c r="AA72" i="23" s="1"/>
  <c r="Z73" i="23"/>
  <c r="AA73" i="23" s="1"/>
  <c r="Z75" i="23"/>
  <c r="AA75" i="23" s="1"/>
  <c r="Z82" i="23"/>
  <c r="AA82" i="23" s="1"/>
  <c r="Z83" i="23"/>
  <c r="AA83" i="23" s="1"/>
  <c r="Z86" i="23"/>
  <c r="AA86" i="23" s="1"/>
  <c r="Z88" i="23"/>
  <c r="AA88" i="23" s="1"/>
  <c r="Z89" i="23"/>
  <c r="AA89" i="23" s="1"/>
  <c r="Z91" i="23"/>
  <c r="AA91" i="23" s="1"/>
  <c r="Z93" i="23"/>
  <c r="AA93" i="23" s="1"/>
  <c r="Z100" i="23"/>
  <c r="AA100" i="23" s="1"/>
  <c r="Z102" i="23"/>
  <c r="AA102" i="23" s="1"/>
  <c r="Z108" i="23"/>
  <c r="AA108" i="23" s="1"/>
  <c r="Z114" i="23"/>
  <c r="AA114" i="23" s="1"/>
  <c r="Z119" i="23"/>
  <c r="AA119" i="23" s="1"/>
  <c r="Z122" i="23"/>
  <c r="AA122" i="23" s="1"/>
  <c r="Z126" i="23"/>
  <c r="AA126" i="23" s="1"/>
  <c r="Z128" i="23"/>
  <c r="AA128" i="23" s="1"/>
  <c r="Z129" i="23"/>
  <c r="AA129" i="23" s="1"/>
  <c r="Z131" i="23"/>
  <c r="AA131" i="23" s="1"/>
  <c r="Z132" i="23"/>
  <c r="AA132" i="23" s="1"/>
  <c r="Z133" i="23"/>
  <c r="AA133" i="23" s="1"/>
  <c r="Z136" i="23"/>
  <c r="AA136" i="23" s="1"/>
  <c r="Z137" i="23"/>
  <c r="AA137" i="23" s="1"/>
  <c r="Z139" i="23"/>
  <c r="AA139" i="23" s="1"/>
  <c r="Z140" i="23"/>
  <c r="AA140" i="23" s="1"/>
  <c r="Z141" i="23"/>
  <c r="AA141" i="23" s="1"/>
  <c r="Z148" i="23"/>
  <c r="AA148" i="23" s="1"/>
  <c r="Z152" i="23"/>
  <c r="AA152" i="23" s="1"/>
  <c r="Z153" i="23"/>
  <c r="AA153" i="23" s="1"/>
  <c r="Z156" i="23"/>
  <c r="AA156" i="23" s="1"/>
  <c r="Z157" i="23"/>
  <c r="AA157" i="23" s="1"/>
  <c r="Z160" i="23"/>
  <c r="AA160" i="23" s="1"/>
  <c r="Z161" i="23"/>
  <c r="AA161" i="23" s="1"/>
  <c r="Z164" i="23"/>
  <c r="AA164" i="23" s="1"/>
  <c r="Z165" i="23"/>
  <c r="AA165" i="23" s="1"/>
  <c r="Z168" i="23"/>
  <c r="AA168" i="23" s="1"/>
  <c r="Z169" i="23"/>
  <c r="AA169" i="23" s="1"/>
  <c r="Z172" i="23"/>
  <c r="AA172" i="23" s="1"/>
  <c r="Z173" i="23"/>
  <c r="AA173" i="23" s="1"/>
  <c r="Z175" i="23"/>
  <c r="AA175" i="23" s="1"/>
  <c r="Z104" i="23"/>
  <c r="AA104" i="23" s="1"/>
  <c r="Z106" i="23"/>
  <c r="AA106" i="23" s="1"/>
  <c r="Z130" i="23"/>
  <c r="AA130" i="23" s="1"/>
  <c r="Z135" i="23"/>
  <c r="AA135" i="23" s="1"/>
  <c r="Z138" i="23"/>
  <c r="AA138" i="23" s="1"/>
  <c r="Z154" i="23"/>
  <c r="AA154" i="23" s="1"/>
  <c r="Z155" i="23"/>
  <c r="AA155" i="23" s="1"/>
  <c r="Z162" i="23"/>
  <c r="AA162" i="23" s="1"/>
  <c r="Z163" i="23"/>
  <c r="AA163" i="23" s="1"/>
  <c r="Z170" i="23"/>
  <c r="AA170" i="23" s="1"/>
  <c r="Z171" i="23"/>
  <c r="AA171" i="23" s="1"/>
  <c r="Z178" i="23"/>
  <c r="AA178" i="23" s="1"/>
  <c r="Z179" i="23"/>
  <c r="AA179" i="23" s="1"/>
  <c r="Z180" i="23"/>
  <c r="AA180" i="23" s="1"/>
  <c r="Z181" i="23"/>
  <c r="AA181" i="23" s="1"/>
  <c r="Z185" i="23"/>
  <c r="AA185" i="23" s="1"/>
  <c r="Z189" i="23"/>
  <c r="AA189" i="23" s="1"/>
  <c r="Z191" i="23"/>
  <c r="AA191" i="23" s="1"/>
  <c r="Z192" i="23"/>
  <c r="AA192" i="23" s="1"/>
  <c r="Z194" i="23"/>
  <c r="AA194" i="23" s="1"/>
  <c r="Z195" i="23"/>
  <c r="AA195" i="23" s="1"/>
  <c r="Z196" i="23"/>
  <c r="AA196" i="23" s="1"/>
  <c r="Z198" i="23"/>
  <c r="AA198" i="23" s="1"/>
  <c r="Z201" i="23"/>
  <c r="AA201" i="23" s="1"/>
  <c r="Z203" i="23"/>
  <c r="AA203" i="23" s="1"/>
  <c r="Z204" i="23"/>
  <c r="AA204" i="23" s="1"/>
  <c r="Z206" i="23"/>
  <c r="AA206" i="23" s="1"/>
  <c r="Z207" i="23"/>
  <c r="AA207" i="23" s="1"/>
  <c r="Z208" i="23"/>
  <c r="AA208" i="23" s="1"/>
  <c r="Z210" i="23"/>
  <c r="AA210" i="23" s="1"/>
  <c r="Z96" i="23"/>
  <c r="AA96" i="23" s="1"/>
  <c r="Z118" i="23"/>
  <c r="AA118" i="23" s="1"/>
  <c r="Z142" i="23"/>
  <c r="AA142" i="23" s="1"/>
  <c r="Z143" i="23"/>
  <c r="AA143" i="23" s="1"/>
  <c r="Z144" i="23"/>
  <c r="AA144" i="23" s="1"/>
  <c r="Z145" i="23"/>
  <c r="AA145" i="23" s="1"/>
  <c r="Z146" i="23"/>
  <c r="AA146" i="23" s="1"/>
  <c r="Z147" i="23"/>
  <c r="AA147" i="23" s="1"/>
  <c r="Z150" i="23"/>
  <c r="AA150" i="23" s="1"/>
  <c r="Z151" i="23"/>
  <c r="AA151" i="23" s="1"/>
  <c r="Z166" i="23"/>
  <c r="AA166" i="23" s="1"/>
  <c r="Z167" i="23"/>
  <c r="AA167" i="23" s="1"/>
  <c r="Z183" i="23"/>
  <c r="AA183" i="23" s="1"/>
  <c r="Z186" i="23"/>
  <c r="AA186" i="23" s="1"/>
  <c r="Z188" i="23"/>
  <c r="AA188" i="23" s="1"/>
  <c r="Z199" i="23"/>
  <c r="AA199" i="23" s="1"/>
  <c r="Z202" i="23"/>
  <c r="AA202" i="23" s="1"/>
  <c r="Z212" i="23"/>
  <c r="AA212" i="23" s="1"/>
  <c r="Z213" i="23"/>
  <c r="AA213" i="23" s="1"/>
  <c r="Z216" i="23"/>
  <c r="AA216" i="23" s="1"/>
  <c r="Z218" i="23"/>
  <c r="AA218" i="23" s="1"/>
  <c r="Z219" i="23"/>
  <c r="AA219" i="23" s="1"/>
  <c r="Z221" i="23"/>
  <c r="AA221" i="23" s="1"/>
  <c r="Z223" i="23"/>
  <c r="AA223" i="23" s="1"/>
  <c r="Z224" i="23"/>
  <c r="AA224" i="23" s="1"/>
  <c r="Z225" i="23"/>
  <c r="AA225" i="23" s="1"/>
  <c r="Z226" i="23"/>
  <c r="AA226" i="23" s="1"/>
  <c r="Z227" i="23"/>
  <c r="AA227" i="23" s="1"/>
  <c r="Z230" i="23"/>
  <c r="AA230" i="23" s="1"/>
  <c r="Z232" i="23"/>
  <c r="AA232" i="23" s="1"/>
  <c r="Z234" i="23"/>
  <c r="AA234" i="23" s="1"/>
  <c r="Z236" i="23"/>
  <c r="AA236" i="23" s="1"/>
  <c r="Z239" i="23"/>
  <c r="AA239" i="23" s="1"/>
  <c r="Z242" i="23"/>
  <c r="AA242" i="23" s="1"/>
  <c r="Z244" i="23"/>
  <c r="AA244" i="23" s="1"/>
  <c r="Z245" i="23"/>
  <c r="AA245" i="23" s="1"/>
  <c r="Z246" i="23"/>
  <c r="AA246" i="23" s="1"/>
  <c r="Z248" i="23"/>
  <c r="AA248" i="23" s="1"/>
  <c r="Z249" i="23"/>
  <c r="AA249" i="23" s="1"/>
  <c r="Z250" i="23"/>
  <c r="AA250" i="23" s="1"/>
  <c r="Z251" i="23"/>
  <c r="AA251" i="23" s="1"/>
  <c r="Z254" i="23"/>
  <c r="AA254" i="23" s="1"/>
  <c r="Z256" i="23"/>
  <c r="AA256" i="23" s="1"/>
  <c r="Z258" i="23"/>
  <c r="AA258" i="23" s="1"/>
  <c r="Z260" i="23"/>
  <c r="AA260" i="23" s="1"/>
  <c r="Z263" i="23"/>
  <c r="AA263" i="23" s="1"/>
  <c r="Z266" i="23"/>
  <c r="AA266" i="23" s="1"/>
  <c r="Z268" i="23"/>
  <c r="AA268" i="23" s="1"/>
  <c r="Z269" i="23"/>
  <c r="AA269" i="23" s="1"/>
  <c r="Z270" i="23"/>
  <c r="AA270" i="23" s="1"/>
  <c r="Z275" i="23"/>
  <c r="AA275" i="23" s="1"/>
  <c r="Z278" i="23"/>
  <c r="AA278" i="23" s="1"/>
  <c r="Z280" i="23"/>
  <c r="AA280" i="23" s="1"/>
  <c r="Z282" i="23"/>
  <c r="AA282" i="23" s="1"/>
  <c r="Z285" i="23"/>
  <c r="AA285" i="23" s="1"/>
  <c r="Z287" i="23"/>
  <c r="AA287" i="23" s="1"/>
  <c r="Z289" i="23"/>
  <c r="AA289" i="23" s="1"/>
  <c r="Z291" i="23"/>
  <c r="AA291" i="23" s="1"/>
  <c r="Z292" i="23"/>
  <c r="AA292" i="23" s="1"/>
  <c r="Z294" i="23"/>
  <c r="AA294" i="23" s="1"/>
  <c r="Z295" i="23"/>
  <c r="AA295" i="23" s="1"/>
  <c r="Z296" i="23"/>
  <c r="AA296" i="23" s="1"/>
  <c r="Z298" i="23"/>
  <c r="AA298" i="23" s="1"/>
  <c r="Z300" i="23"/>
  <c r="AA300" i="23" s="1"/>
  <c r="Z302" i="23"/>
  <c r="AA302" i="23" s="1"/>
  <c r="Z306" i="23"/>
  <c r="AA306" i="23" s="1"/>
  <c r="Z310" i="23"/>
  <c r="AA310" i="23" s="1"/>
  <c r="Z314" i="23"/>
  <c r="AA314" i="23" s="1"/>
  <c r="Z98" i="23"/>
  <c r="AA98" i="23" s="1"/>
  <c r="Z123" i="23"/>
  <c r="AA123" i="23" s="1"/>
  <c r="Z124" i="23"/>
  <c r="AA124" i="23" s="1"/>
  <c r="Z125" i="23"/>
  <c r="AA125" i="23" s="1"/>
  <c r="Z127" i="23"/>
  <c r="AA127" i="23" s="1"/>
  <c r="Z134" i="23"/>
  <c r="AA134" i="23" s="1"/>
  <c r="Z149" i="23"/>
  <c r="AA149" i="23" s="1"/>
  <c r="Z158" i="23"/>
  <c r="AA158" i="23" s="1"/>
  <c r="Z159" i="23"/>
  <c r="AA159" i="23" s="1"/>
  <c r="Z174" i="23"/>
  <c r="AA174" i="23" s="1"/>
  <c r="Z176" i="23"/>
  <c r="AA176" i="23" s="1"/>
  <c r="Z177" i="23"/>
  <c r="AA177" i="23" s="1"/>
  <c r="Z182" i="23"/>
  <c r="AA182" i="23" s="1"/>
  <c r="Z184" i="23"/>
  <c r="AA184" i="23" s="1"/>
  <c r="Z187" i="23"/>
  <c r="AA187" i="23" s="1"/>
  <c r="Z190" i="23"/>
  <c r="AA190" i="23" s="1"/>
  <c r="Z193" i="23"/>
  <c r="AA193" i="23" s="1"/>
  <c r="Z197" i="23"/>
  <c r="AA197" i="23" s="1"/>
  <c r="Z200" i="23"/>
  <c r="AA200" i="23" s="1"/>
  <c r="Z205" i="23"/>
  <c r="AA205" i="23" s="1"/>
  <c r="Z209" i="23"/>
  <c r="AA209" i="23" s="1"/>
  <c r="Z211" i="23"/>
  <c r="AA211" i="23" s="1"/>
  <c r="Z214" i="23"/>
  <c r="AA214" i="23" s="1"/>
  <c r="Z215" i="23"/>
  <c r="AA215" i="23" s="1"/>
  <c r="Z217" i="23"/>
  <c r="AA217" i="23" s="1"/>
  <c r="Z220" i="23"/>
  <c r="AA220" i="23" s="1"/>
  <c r="Z222" i="23"/>
  <c r="AA222" i="23" s="1"/>
  <c r="Z228" i="23"/>
  <c r="AA228" i="23" s="1"/>
  <c r="Z229" i="23"/>
  <c r="AA229" i="23" s="1"/>
  <c r="Z231" i="23"/>
  <c r="AA231" i="23" s="1"/>
  <c r="Z233" i="23"/>
  <c r="AA233" i="23" s="1"/>
  <c r="Z235" i="23"/>
  <c r="AA235" i="23" s="1"/>
  <c r="Z237" i="23"/>
  <c r="AA237" i="23" s="1"/>
  <c r="Z238" i="23"/>
  <c r="AA238" i="23" s="1"/>
  <c r="Z240" i="23"/>
  <c r="AA240" i="23" s="1"/>
  <c r="Z241" i="23"/>
  <c r="AA241" i="23" s="1"/>
  <c r="Z243" i="23"/>
  <c r="AA243" i="23" s="1"/>
  <c r="Z247" i="23"/>
  <c r="AA247" i="23" s="1"/>
  <c r="Z252" i="23"/>
  <c r="AA252" i="23" s="1"/>
  <c r="Z253" i="23"/>
  <c r="AA253" i="23" s="1"/>
  <c r="Z255" i="23"/>
  <c r="AA255" i="23" s="1"/>
  <c r="Z257" i="23"/>
  <c r="AA257" i="23" s="1"/>
  <c r="Z259" i="23"/>
  <c r="AA259" i="23" s="1"/>
  <c r="Z261" i="23"/>
  <c r="AA261" i="23" s="1"/>
  <c r="Z262" i="23"/>
  <c r="AA262" i="23" s="1"/>
  <c r="Z264" i="23"/>
  <c r="AA264" i="23" s="1"/>
  <c r="Z265" i="23"/>
  <c r="AA265" i="23" s="1"/>
  <c r="Z267" i="23"/>
  <c r="AA267" i="23" s="1"/>
  <c r="Z271" i="23"/>
  <c r="AA271" i="23" s="1"/>
  <c r="Z272" i="23"/>
  <c r="AA272" i="23" s="1"/>
  <c r="Z273" i="23"/>
  <c r="AA273" i="23" s="1"/>
  <c r="Z274" i="23"/>
  <c r="AA274" i="23" s="1"/>
  <c r="Z276" i="23"/>
  <c r="AA276" i="23" s="1"/>
  <c r="Z277" i="23"/>
  <c r="AA277" i="23" s="1"/>
  <c r="Z279" i="23"/>
  <c r="AA279" i="23" s="1"/>
  <c r="Z281" i="23"/>
  <c r="AA281" i="23" s="1"/>
  <c r="Z283" i="23"/>
  <c r="AA283" i="23" s="1"/>
  <c r="Z284" i="23"/>
  <c r="AA284" i="23" s="1"/>
  <c r="Z286" i="23"/>
  <c r="AA286" i="23" s="1"/>
  <c r="Z288" i="23"/>
  <c r="AA288" i="23" s="1"/>
  <c r="Z290" i="23"/>
  <c r="AA290" i="23" s="1"/>
  <c r="Z293" i="23"/>
  <c r="AA293" i="23" s="1"/>
  <c r="Z297" i="23"/>
  <c r="AA297" i="23" s="1"/>
  <c r="Z299" i="23"/>
  <c r="AA299" i="23" s="1"/>
  <c r="Z301" i="23"/>
  <c r="AA301" i="23" s="1"/>
  <c r="Z303" i="23"/>
  <c r="AA303" i="23" s="1"/>
  <c r="Z304" i="23"/>
  <c r="AA304" i="23" s="1"/>
  <c r="Z305" i="23"/>
  <c r="AA305" i="23" s="1"/>
  <c r="Z307" i="23"/>
  <c r="AA307" i="23" s="1"/>
  <c r="Z308" i="23"/>
  <c r="AA308" i="23" s="1"/>
  <c r="Z309" i="23"/>
  <c r="AA309" i="23" s="1"/>
  <c r="Z311" i="23"/>
  <c r="AA311" i="23" s="1"/>
  <c r="Z312" i="23"/>
  <c r="AA312" i="23" s="1"/>
  <c r="Z313" i="23"/>
  <c r="AA313" i="23" s="1"/>
  <c r="Z315" i="23"/>
  <c r="AA315" i="23" s="1"/>
  <c r="Z317" i="23"/>
  <c r="AA317" i="23" s="1"/>
  <c r="Z319" i="23"/>
  <c r="AA319" i="23" s="1"/>
  <c r="Z320" i="23"/>
  <c r="AA320" i="23" s="1"/>
  <c r="Z321" i="23"/>
  <c r="AA321" i="23" s="1"/>
  <c r="Z23" i="23"/>
  <c r="Z316" i="23"/>
  <c r="AA316" i="23" s="1"/>
  <c r="Z322" i="23"/>
  <c r="AA322" i="23" s="1"/>
  <c r="Z318" i="23"/>
  <c r="AA318" i="23" s="1"/>
  <c r="AD26" i="23"/>
  <c r="AE26" i="23" s="1"/>
  <c r="AD27" i="23"/>
  <c r="AE27" i="23" s="1"/>
  <c r="AD24" i="23"/>
  <c r="AE24" i="23" s="1"/>
  <c r="AD29" i="23"/>
  <c r="AE29" i="23" s="1"/>
  <c r="AD31" i="23"/>
  <c r="AE31" i="23" s="1"/>
  <c r="AD34" i="23"/>
  <c r="AE34" i="23" s="1"/>
  <c r="AD35" i="23"/>
  <c r="AE35" i="23" s="1"/>
  <c r="AD36" i="23"/>
  <c r="AE36" i="23" s="1"/>
  <c r="AD41" i="23"/>
  <c r="AE41" i="23" s="1"/>
  <c r="AD33" i="23"/>
  <c r="AE33" i="23" s="1"/>
  <c r="AD37" i="23"/>
  <c r="AE37" i="23" s="1"/>
  <c r="AD38" i="23"/>
  <c r="AE38" i="23" s="1"/>
  <c r="AD42" i="23"/>
  <c r="AE42" i="23" s="1"/>
  <c r="AD43" i="23"/>
  <c r="AE43" i="23" s="1"/>
  <c r="AD44" i="23"/>
  <c r="AE44" i="23" s="1"/>
  <c r="AD45" i="23"/>
  <c r="AE45" i="23" s="1"/>
  <c r="AD46" i="23"/>
  <c r="AE46" i="23" s="1"/>
  <c r="AD47" i="23"/>
  <c r="AE47" i="23" s="1"/>
  <c r="AD48" i="23"/>
  <c r="AE48" i="23" s="1"/>
  <c r="AD49" i="23"/>
  <c r="AE49" i="23" s="1"/>
  <c r="AD50" i="23"/>
  <c r="AE50" i="23" s="1"/>
  <c r="AD53" i="23"/>
  <c r="AE53" i="23" s="1"/>
  <c r="AD54" i="23"/>
  <c r="AE54" i="23" s="1"/>
  <c r="AD63" i="23"/>
  <c r="AE63" i="23" s="1"/>
  <c r="AD64" i="23"/>
  <c r="AE64" i="23" s="1"/>
  <c r="AD65" i="23"/>
  <c r="AE65" i="23" s="1"/>
  <c r="AD66" i="23"/>
  <c r="AE66" i="23" s="1"/>
  <c r="AD67" i="23"/>
  <c r="AE67" i="23" s="1"/>
  <c r="AD30" i="23"/>
  <c r="AE30" i="23" s="1"/>
  <c r="AD39" i="23"/>
  <c r="AE39" i="23" s="1"/>
  <c r="AD51" i="23"/>
  <c r="AE51" i="23" s="1"/>
  <c r="AD52" i="23"/>
  <c r="AE52" i="23" s="1"/>
  <c r="AD40" i="23"/>
  <c r="AE40" i="23" s="1"/>
  <c r="AD55" i="23"/>
  <c r="AE55" i="23" s="1"/>
  <c r="AD56" i="23"/>
  <c r="AE56" i="23" s="1"/>
  <c r="AD57" i="23"/>
  <c r="AE57" i="23" s="1"/>
  <c r="AD59" i="23"/>
  <c r="AE59" i="23" s="1"/>
  <c r="AD60" i="23"/>
  <c r="AE60" i="23" s="1"/>
  <c r="AD61" i="23"/>
  <c r="AE61" i="23" s="1"/>
  <c r="AD69" i="23"/>
  <c r="AE69" i="23" s="1"/>
  <c r="AD70" i="23"/>
  <c r="AE70" i="23" s="1"/>
  <c r="AD71" i="23"/>
  <c r="AE71" i="23" s="1"/>
  <c r="AD72" i="23"/>
  <c r="AE72" i="23" s="1"/>
  <c r="AD77" i="23"/>
  <c r="AE77" i="23" s="1"/>
  <c r="AD78" i="23"/>
  <c r="AE78" i="23" s="1"/>
  <c r="AD79" i="23"/>
  <c r="AE79" i="23" s="1"/>
  <c r="AD80" i="23"/>
  <c r="AE80" i="23" s="1"/>
  <c r="AD81" i="23"/>
  <c r="AE81" i="23" s="1"/>
  <c r="AD84" i="23"/>
  <c r="AE84" i="23" s="1"/>
  <c r="AD85" i="23"/>
  <c r="AE85" i="23" s="1"/>
  <c r="AD87" i="23"/>
  <c r="AE87" i="23" s="1"/>
  <c r="AD90" i="23"/>
  <c r="AE90" i="23" s="1"/>
  <c r="AD92" i="23"/>
  <c r="AE92" i="23" s="1"/>
  <c r="AD94" i="23"/>
  <c r="AE94" i="23" s="1"/>
  <c r="AD96" i="23"/>
  <c r="AE96" i="23" s="1"/>
  <c r="AD98" i="23"/>
  <c r="AE98" i="23" s="1"/>
  <c r="AD100" i="23"/>
  <c r="AE100" i="23" s="1"/>
  <c r="AD102" i="23"/>
  <c r="AE102" i="23" s="1"/>
  <c r="AD104" i="23"/>
  <c r="AE104" i="23" s="1"/>
  <c r="AD106" i="23"/>
  <c r="AE106" i="23" s="1"/>
  <c r="AD108" i="23"/>
  <c r="AE108" i="23" s="1"/>
  <c r="AD112" i="23"/>
  <c r="AE112" i="23" s="1"/>
  <c r="AD113" i="23"/>
  <c r="AE113" i="23" s="1"/>
  <c r="AD115" i="23"/>
  <c r="AE115" i="23" s="1"/>
  <c r="AD116" i="23"/>
  <c r="AE116" i="23" s="1"/>
  <c r="AD117" i="23"/>
  <c r="AE117" i="23" s="1"/>
  <c r="AD120" i="23"/>
  <c r="AE120" i="23" s="1"/>
  <c r="AD121" i="23"/>
  <c r="AE121" i="23" s="1"/>
  <c r="AD25" i="23"/>
  <c r="AE25" i="23" s="1"/>
  <c r="AD28" i="23"/>
  <c r="AE28" i="23" s="1"/>
  <c r="AD32" i="23"/>
  <c r="AE32" i="23" s="1"/>
  <c r="AD58" i="23"/>
  <c r="AE58" i="23" s="1"/>
  <c r="AD62" i="23"/>
  <c r="AE62" i="23" s="1"/>
  <c r="AD68" i="23"/>
  <c r="AE68" i="23" s="1"/>
  <c r="AD73" i="23"/>
  <c r="AE73" i="23" s="1"/>
  <c r="AD74" i="23"/>
  <c r="AE74" i="23" s="1"/>
  <c r="AD75" i="23"/>
  <c r="AE75" i="23" s="1"/>
  <c r="AD76" i="23"/>
  <c r="AE76" i="23" s="1"/>
  <c r="AD82" i="23"/>
  <c r="AE82" i="23" s="1"/>
  <c r="AD83" i="23"/>
  <c r="AE83" i="23" s="1"/>
  <c r="AD86" i="23"/>
  <c r="AE86" i="23" s="1"/>
  <c r="AD88" i="23"/>
  <c r="AE88" i="23" s="1"/>
  <c r="AD89" i="23"/>
  <c r="AE89" i="23" s="1"/>
  <c r="AD91" i="23"/>
  <c r="AE91" i="23" s="1"/>
  <c r="AD93" i="23"/>
  <c r="AE93" i="23" s="1"/>
  <c r="AD97" i="23"/>
  <c r="AE97" i="23" s="1"/>
  <c r="AD99" i="23"/>
  <c r="AE99" i="23" s="1"/>
  <c r="AD105" i="23"/>
  <c r="AE105" i="23" s="1"/>
  <c r="AD107" i="23"/>
  <c r="AE107" i="23" s="1"/>
  <c r="AD111" i="23"/>
  <c r="AE111" i="23" s="1"/>
  <c r="AD118" i="23"/>
  <c r="AE118" i="23" s="1"/>
  <c r="AD119" i="23"/>
  <c r="AE119" i="23" s="1"/>
  <c r="AD126" i="23"/>
  <c r="AE126" i="23" s="1"/>
  <c r="AD128" i="23"/>
  <c r="AE128" i="23" s="1"/>
  <c r="AD129" i="23"/>
  <c r="AE129" i="23" s="1"/>
  <c r="AD131" i="23"/>
  <c r="AE131" i="23" s="1"/>
  <c r="AD132" i="23"/>
  <c r="AE132" i="23" s="1"/>
  <c r="AD133" i="23"/>
  <c r="AE133" i="23" s="1"/>
  <c r="AD136" i="23"/>
  <c r="AE136" i="23" s="1"/>
  <c r="AD137" i="23"/>
  <c r="AE137" i="23" s="1"/>
  <c r="AD139" i="23"/>
  <c r="AE139" i="23" s="1"/>
  <c r="AD140" i="23"/>
  <c r="AE140" i="23" s="1"/>
  <c r="AD141" i="23"/>
  <c r="AE141" i="23" s="1"/>
  <c r="AD149" i="23"/>
  <c r="AE149" i="23" s="1"/>
  <c r="AD152" i="23"/>
  <c r="AE152" i="23" s="1"/>
  <c r="AD153" i="23"/>
  <c r="AE153" i="23" s="1"/>
  <c r="AD156" i="23"/>
  <c r="AE156" i="23" s="1"/>
  <c r="AD157" i="23"/>
  <c r="AE157" i="23" s="1"/>
  <c r="AD160" i="23"/>
  <c r="AE160" i="23" s="1"/>
  <c r="AD161" i="23"/>
  <c r="AE161" i="23" s="1"/>
  <c r="AD164" i="23"/>
  <c r="AE164" i="23" s="1"/>
  <c r="AD165" i="23"/>
  <c r="AE165" i="23" s="1"/>
  <c r="AD168" i="23"/>
  <c r="AE168" i="23" s="1"/>
  <c r="AD169" i="23"/>
  <c r="AE169" i="23" s="1"/>
  <c r="AD172" i="23"/>
  <c r="AE172" i="23" s="1"/>
  <c r="AD173" i="23"/>
  <c r="AE173" i="23" s="1"/>
  <c r="AD103" i="23"/>
  <c r="AE103" i="23" s="1"/>
  <c r="AD109" i="23"/>
  <c r="AE109" i="23" s="1"/>
  <c r="AD122" i="23"/>
  <c r="AE122" i="23" s="1"/>
  <c r="AD124" i="23"/>
  <c r="AE124" i="23" s="1"/>
  <c r="AD134" i="23"/>
  <c r="AE134" i="23" s="1"/>
  <c r="AD135" i="23"/>
  <c r="AE135" i="23" s="1"/>
  <c r="AD142" i="23"/>
  <c r="AE142" i="23" s="1"/>
  <c r="AD144" i="23"/>
  <c r="AE144" i="23" s="1"/>
  <c r="AD146" i="23"/>
  <c r="AE146" i="23" s="1"/>
  <c r="AD150" i="23"/>
  <c r="AE150" i="23" s="1"/>
  <c r="AD155" i="23"/>
  <c r="AE155" i="23" s="1"/>
  <c r="AD158" i="23"/>
  <c r="AE158" i="23" s="1"/>
  <c r="AD163" i="23"/>
  <c r="AE163" i="23" s="1"/>
  <c r="AD166" i="23"/>
  <c r="AE166" i="23" s="1"/>
  <c r="AD171" i="23"/>
  <c r="AE171" i="23" s="1"/>
  <c r="AD174" i="23"/>
  <c r="AE174" i="23" s="1"/>
  <c r="AD178" i="23"/>
  <c r="AE178" i="23" s="1"/>
  <c r="AD179" i="23"/>
  <c r="AE179" i="23" s="1"/>
  <c r="AD180" i="23"/>
  <c r="AE180" i="23" s="1"/>
  <c r="AD181" i="23"/>
  <c r="AE181" i="23" s="1"/>
  <c r="AD183" i="23"/>
  <c r="AE183" i="23" s="1"/>
  <c r="AD187" i="23"/>
  <c r="AE187" i="23" s="1"/>
  <c r="AD192" i="23"/>
  <c r="AE192" i="23" s="1"/>
  <c r="AD193" i="23"/>
  <c r="AE193" i="23" s="1"/>
  <c r="AD194" i="23"/>
  <c r="AE194" i="23" s="1"/>
  <c r="AD196" i="23"/>
  <c r="AE196" i="23" s="1"/>
  <c r="AD197" i="23"/>
  <c r="AE197" i="23" s="1"/>
  <c r="AD198" i="23"/>
  <c r="AE198" i="23" s="1"/>
  <c r="AD199" i="23"/>
  <c r="AE199" i="23" s="1"/>
  <c r="AD204" i="23"/>
  <c r="AE204" i="23" s="1"/>
  <c r="AD205" i="23"/>
  <c r="AE205" i="23" s="1"/>
  <c r="AD206" i="23"/>
  <c r="AE206" i="23" s="1"/>
  <c r="AD208" i="23"/>
  <c r="AE208" i="23" s="1"/>
  <c r="AD209" i="23"/>
  <c r="AE209" i="23" s="1"/>
  <c r="AD210" i="23"/>
  <c r="AE210" i="23" s="1"/>
  <c r="AD95" i="23"/>
  <c r="AE95" i="23" s="1"/>
  <c r="AD110" i="23"/>
  <c r="AE110" i="23" s="1"/>
  <c r="AD114" i="23"/>
  <c r="AE114" i="23" s="1"/>
  <c r="AD123" i="23"/>
  <c r="AE123" i="23" s="1"/>
  <c r="AD125" i="23"/>
  <c r="AE125" i="23" s="1"/>
  <c r="AD127" i="23"/>
  <c r="AE127" i="23" s="1"/>
  <c r="AD138" i="23"/>
  <c r="AE138" i="23" s="1"/>
  <c r="AD154" i="23"/>
  <c r="AE154" i="23" s="1"/>
  <c r="AD159" i="23"/>
  <c r="AE159" i="23" s="1"/>
  <c r="AD170" i="23"/>
  <c r="AE170" i="23" s="1"/>
  <c r="AD176" i="23"/>
  <c r="AE176" i="23" s="1"/>
  <c r="AD182" i="23"/>
  <c r="AE182" i="23" s="1"/>
  <c r="AD184" i="23"/>
  <c r="AE184" i="23" s="1"/>
  <c r="AD185" i="23"/>
  <c r="AE185" i="23" s="1"/>
  <c r="AD190" i="23"/>
  <c r="AE190" i="23" s="1"/>
  <c r="AD191" i="23"/>
  <c r="AE191" i="23" s="1"/>
  <c r="AD195" i="23"/>
  <c r="AE195" i="23" s="1"/>
  <c r="AD200" i="23"/>
  <c r="AE200" i="23" s="1"/>
  <c r="AD201" i="23"/>
  <c r="AE201" i="23" s="1"/>
  <c r="AD203" i="23"/>
  <c r="AE203" i="23" s="1"/>
  <c r="AD207" i="23"/>
  <c r="AE207" i="23" s="1"/>
  <c r="AD214" i="23"/>
  <c r="AE214" i="23" s="1"/>
  <c r="AD215" i="23"/>
  <c r="AE215" i="23" s="1"/>
  <c r="AD217" i="23"/>
  <c r="AE217" i="23" s="1"/>
  <c r="AD220" i="23"/>
  <c r="AE220" i="23" s="1"/>
  <c r="AD222" i="23"/>
  <c r="AE222" i="23" s="1"/>
  <c r="AD224" i="23"/>
  <c r="AE224" i="23" s="1"/>
  <c r="AD227" i="23"/>
  <c r="AE227" i="23" s="1"/>
  <c r="AD228" i="23"/>
  <c r="AE228" i="23" s="1"/>
  <c r="AD229" i="23"/>
  <c r="AE229" i="23" s="1"/>
  <c r="AD231" i="23"/>
  <c r="AE231" i="23" s="1"/>
  <c r="AD232" i="23"/>
  <c r="AE232" i="23" s="1"/>
  <c r="AD233" i="23"/>
  <c r="AE233" i="23" s="1"/>
  <c r="AD235" i="23"/>
  <c r="AE235" i="23" s="1"/>
  <c r="AD236" i="23"/>
  <c r="AE236" i="23" s="1"/>
  <c r="AD237" i="23"/>
  <c r="AE237" i="23" s="1"/>
  <c r="AD240" i="23"/>
  <c r="AE240" i="23" s="1"/>
  <c r="AD241" i="23"/>
  <c r="AE241" i="23" s="1"/>
  <c r="AD242" i="23"/>
  <c r="AE242" i="23" s="1"/>
  <c r="AD243" i="23"/>
  <c r="AE243" i="23" s="1"/>
  <c r="AD246" i="23"/>
  <c r="AE246" i="23" s="1"/>
  <c r="AD247" i="23"/>
  <c r="AE247" i="23" s="1"/>
  <c r="AD252" i="23"/>
  <c r="AE252" i="23" s="1"/>
  <c r="AD253" i="23"/>
  <c r="AE253" i="23" s="1"/>
  <c r="AD254" i="23"/>
  <c r="AE254" i="23" s="1"/>
  <c r="AD255" i="23"/>
  <c r="AE255" i="23" s="1"/>
  <c r="AD257" i="23"/>
  <c r="AE257" i="23" s="1"/>
  <c r="AD258" i="23"/>
  <c r="AE258" i="23" s="1"/>
  <c r="AD259" i="23"/>
  <c r="AE259" i="23" s="1"/>
  <c r="AD261" i="23"/>
  <c r="AE261" i="23" s="1"/>
  <c r="AD264" i="23"/>
  <c r="AE264" i="23" s="1"/>
  <c r="AD265" i="23"/>
  <c r="AE265" i="23" s="1"/>
  <c r="AD267" i="23"/>
  <c r="AE267" i="23" s="1"/>
  <c r="AD271" i="23"/>
  <c r="AE271" i="23" s="1"/>
  <c r="AD272" i="23"/>
  <c r="AE272" i="23" s="1"/>
  <c r="AD273" i="23"/>
  <c r="AE273" i="23" s="1"/>
  <c r="AD274" i="23"/>
  <c r="AE274" i="23" s="1"/>
  <c r="AD276" i="23"/>
  <c r="AE276" i="23" s="1"/>
  <c r="AD279" i="23"/>
  <c r="AE279" i="23" s="1"/>
  <c r="AD284" i="23"/>
  <c r="AE284" i="23" s="1"/>
  <c r="AD285" i="23"/>
  <c r="AE285" i="23" s="1"/>
  <c r="AD286" i="23"/>
  <c r="AE286" i="23" s="1"/>
  <c r="AD288" i="23"/>
  <c r="AE288" i="23" s="1"/>
  <c r="AD289" i="23"/>
  <c r="AE289" i="23" s="1"/>
  <c r="AD290" i="23"/>
  <c r="AE290" i="23" s="1"/>
  <c r="AD291" i="23"/>
  <c r="AE291" i="23" s="1"/>
  <c r="AD295" i="23"/>
  <c r="AE295" i="23" s="1"/>
  <c r="AD299" i="23"/>
  <c r="AE299" i="23" s="1"/>
  <c r="AD303" i="23"/>
  <c r="AE303" i="23" s="1"/>
  <c r="AD304" i="23"/>
  <c r="AE304" i="23" s="1"/>
  <c r="AD307" i="23"/>
  <c r="AE307" i="23" s="1"/>
  <c r="AD308" i="23"/>
  <c r="AE308" i="23" s="1"/>
  <c r="AD311" i="23"/>
  <c r="AE311" i="23" s="1"/>
  <c r="AD312" i="23"/>
  <c r="AE312" i="23" s="1"/>
  <c r="AD101" i="23"/>
  <c r="AE101" i="23" s="1"/>
  <c r="AD130" i="23"/>
  <c r="AE130" i="23" s="1"/>
  <c r="AD143" i="23"/>
  <c r="AE143" i="23" s="1"/>
  <c r="AD145" i="23"/>
  <c r="AE145" i="23" s="1"/>
  <c r="AD147" i="23"/>
  <c r="AE147" i="23" s="1"/>
  <c r="AD148" i="23"/>
  <c r="AE148" i="23" s="1"/>
  <c r="AD151" i="23"/>
  <c r="AE151" i="23" s="1"/>
  <c r="AD162" i="23"/>
  <c r="AE162" i="23" s="1"/>
  <c r="AD167" i="23"/>
  <c r="AE167" i="23" s="1"/>
  <c r="AD175" i="23"/>
  <c r="AE175" i="23" s="1"/>
  <c r="AD177" i="23"/>
  <c r="AE177" i="23" s="1"/>
  <c r="AD186" i="23"/>
  <c r="AE186" i="23" s="1"/>
  <c r="AD188" i="23"/>
  <c r="AE188" i="23" s="1"/>
  <c r="AD189" i="23"/>
  <c r="AE189" i="23" s="1"/>
  <c r="AD202" i="23"/>
  <c r="AE202" i="23" s="1"/>
  <c r="AD211" i="23"/>
  <c r="AE211" i="23" s="1"/>
  <c r="AD212" i="23"/>
  <c r="AE212" i="23" s="1"/>
  <c r="AD213" i="23"/>
  <c r="AE213" i="23" s="1"/>
  <c r="AD216" i="23"/>
  <c r="AE216" i="23" s="1"/>
  <c r="AD218" i="23"/>
  <c r="AE218" i="23" s="1"/>
  <c r="AD219" i="23"/>
  <c r="AE219" i="23" s="1"/>
  <c r="AD221" i="23"/>
  <c r="AE221" i="23" s="1"/>
  <c r="AD223" i="23"/>
  <c r="AE223" i="23" s="1"/>
  <c r="AD225" i="23"/>
  <c r="AE225" i="23" s="1"/>
  <c r="AD226" i="23"/>
  <c r="AE226" i="23" s="1"/>
  <c r="AD230" i="23"/>
  <c r="AE230" i="23" s="1"/>
  <c r="AD234" i="23"/>
  <c r="AE234" i="23" s="1"/>
  <c r="AD238" i="23"/>
  <c r="AE238" i="23" s="1"/>
  <c r="AD239" i="23"/>
  <c r="AE239" i="23" s="1"/>
  <c r="AD244" i="23"/>
  <c r="AE244" i="23" s="1"/>
  <c r="AD245" i="23"/>
  <c r="AE245" i="23" s="1"/>
  <c r="AD248" i="23"/>
  <c r="AE248" i="23" s="1"/>
  <c r="AD249" i="23"/>
  <c r="AE249" i="23" s="1"/>
  <c r="AD250" i="23"/>
  <c r="AE250" i="23" s="1"/>
  <c r="AD251" i="23"/>
  <c r="AE251" i="23" s="1"/>
  <c r="AD256" i="23"/>
  <c r="AE256" i="23" s="1"/>
  <c r="AD260" i="23"/>
  <c r="AE260" i="23" s="1"/>
  <c r="AD262" i="23"/>
  <c r="AE262" i="23" s="1"/>
  <c r="AD263" i="23"/>
  <c r="AE263" i="23" s="1"/>
  <c r="AD266" i="23"/>
  <c r="AE266" i="23" s="1"/>
  <c r="AD268" i="23"/>
  <c r="AE268" i="23" s="1"/>
  <c r="AD269" i="23"/>
  <c r="AE269" i="23" s="1"/>
  <c r="AD270" i="23"/>
  <c r="AE270" i="23" s="1"/>
  <c r="AD275" i="23"/>
  <c r="AE275" i="23" s="1"/>
  <c r="AD277" i="23"/>
  <c r="AE277" i="23" s="1"/>
  <c r="AD278" i="23"/>
  <c r="AE278" i="23" s="1"/>
  <c r="AD280" i="23"/>
  <c r="AE280" i="23" s="1"/>
  <c r="AD281" i="23"/>
  <c r="AE281" i="23" s="1"/>
  <c r="AD282" i="23"/>
  <c r="AE282" i="23" s="1"/>
  <c r="AD283" i="23"/>
  <c r="AE283" i="23" s="1"/>
  <c r="AD287" i="23"/>
  <c r="AE287" i="23" s="1"/>
  <c r="AD292" i="23"/>
  <c r="AE292" i="23" s="1"/>
  <c r="AD293" i="23"/>
  <c r="AE293" i="23" s="1"/>
  <c r="AD294" i="23"/>
  <c r="AE294" i="23" s="1"/>
  <c r="AD296" i="23"/>
  <c r="AE296" i="23" s="1"/>
  <c r="AD297" i="23"/>
  <c r="AE297" i="23" s="1"/>
  <c r="AD298" i="23"/>
  <c r="AE298" i="23" s="1"/>
  <c r="AD300" i="23"/>
  <c r="AE300" i="23" s="1"/>
  <c r="AD301" i="23"/>
  <c r="AE301" i="23" s="1"/>
  <c r="AD302" i="23"/>
  <c r="AE302" i="23" s="1"/>
  <c r="AD305" i="23"/>
  <c r="AE305" i="23" s="1"/>
  <c r="AD306" i="23"/>
  <c r="AE306" i="23" s="1"/>
  <c r="AD309" i="23"/>
  <c r="AE309" i="23" s="1"/>
  <c r="AD310" i="23"/>
  <c r="AE310" i="23" s="1"/>
  <c r="AD313" i="23"/>
  <c r="AE313" i="23" s="1"/>
  <c r="AD314" i="23"/>
  <c r="AE314" i="23" s="1"/>
  <c r="AD316" i="23"/>
  <c r="AE316" i="23" s="1"/>
  <c r="AD318" i="23"/>
  <c r="AE318" i="23" s="1"/>
  <c r="AD319" i="23"/>
  <c r="AE319" i="23" s="1"/>
  <c r="AD322" i="23"/>
  <c r="AE322" i="23" s="1"/>
  <c r="AD23" i="23"/>
  <c r="AD315" i="23"/>
  <c r="AE315" i="23" s="1"/>
  <c r="AD317" i="23"/>
  <c r="AE317" i="23" s="1"/>
  <c r="AD320" i="23"/>
  <c r="AE320" i="23" s="1"/>
  <c r="AD321" i="23"/>
  <c r="AE321" i="23" s="1"/>
  <c r="AN11" i="26"/>
  <c r="AF11" i="26"/>
  <c r="AM11" i="26"/>
  <c r="AI11" i="26"/>
  <c r="K20" i="24"/>
  <c r="K17" i="24"/>
  <c r="J17" i="24" s="1"/>
  <c r="K14" i="24"/>
  <c r="K16" i="24"/>
  <c r="J16" i="24" s="1"/>
  <c r="AL11" i="26"/>
  <c r="J3" i="48"/>
  <c r="AG23" i="23"/>
  <c r="AG20" i="23" s="1"/>
  <c r="AE23" i="23"/>
  <c r="AE20" i="23" s="1"/>
  <c r="J3" i="46"/>
  <c r="AC23" i="23"/>
  <c r="AC20" i="23" s="1"/>
  <c r="J3" i="44"/>
  <c r="Y23" i="23"/>
  <c r="Y20" i="23" s="1"/>
  <c r="W23" i="23"/>
  <c r="W20" i="23" s="1"/>
  <c r="J3" i="42"/>
  <c r="U23" i="23"/>
  <c r="U20" i="23" s="1"/>
  <c r="J21" i="24"/>
  <c r="K18" i="24"/>
  <c r="D18" i="24" s="1"/>
  <c r="H18" i="24" s="1"/>
  <c r="C9" i="23"/>
  <c r="I13" i="2"/>
  <c r="N23" i="23"/>
  <c r="L23" i="23"/>
  <c r="L20" i="23" s="1"/>
  <c r="J3" i="37"/>
  <c r="J23" i="23"/>
  <c r="J20" i="23" s="1"/>
  <c r="K10" i="24"/>
  <c r="C6" i="23"/>
  <c r="I10" i="2"/>
  <c r="F23" i="23"/>
  <c r="J3" i="36"/>
  <c r="C4" i="23" s="1"/>
  <c r="AD11" i="26"/>
  <c r="AJ11" i="26"/>
  <c r="AB10" i="26"/>
  <c r="AB9" i="26"/>
  <c r="R43" i="26"/>
  <c r="AH11" i="26"/>
  <c r="AA9" i="26"/>
  <c r="AA10" i="26"/>
  <c r="Z10" i="26"/>
  <c r="Z9" i="26"/>
  <c r="Z8" i="26"/>
  <c r="AA23" i="23"/>
  <c r="J20" i="24"/>
  <c r="AJ42" i="5"/>
  <c r="P42" i="5" s="1"/>
  <c r="K43" i="26"/>
  <c r="L43" i="26"/>
  <c r="Q43" i="26"/>
  <c r="T43" i="26"/>
  <c r="M43" i="26"/>
  <c r="S43" i="26"/>
  <c r="G42" i="26"/>
  <c r="W1" i="26" s="1"/>
  <c r="AA3" i="44"/>
  <c r="O57" i="5"/>
  <c r="AA3" i="46"/>
  <c r="O59" i="5"/>
  <c r="O61" i="5"/>
  <c r="AA3" i="48"/>
  <c r="AA3" i="45"/>
  <c r="O58" i="5"/>
  <c r="AA3" i="36"/>
  <c r="O48" i="5"/>
  <c r="AR8" i="24"/>
  <c r="AA3" i="38"/>
  <c r="O52" i="5"/>
  <c r="P52" i="5" s="1"/>
  <c r="AR16" i="24"/>
  <c r="AT16" i="24" s="1"/>
  <c r="AR17" i="24"/>
  <c r="AT17" i="24" s="1"/>
  <c r="AR15" i="24"/>
  <c r="AT15" i="24" s="1"/>
  <c r="J3" i="39"/>
  <c r="AA3" i="39"/>
  <c r="O51" i="5"/>
  <c r="P51" i="5" s="1"/>
  <c r="AR14" i="24"/>
  <c r="AT14" i="24" s="1"/>
  <c r="AR12" i="24"/>
  <c r="AT12" i="24" s="1"/>
  <c r="AR13" i="24"/>
  <c r="AT13" i="24" s="1"/>
  <c r="AR11" i="24"/>
  <c r="AT11" i="24" s="1"/>
  <c r="J15" i="24"/>
  <c r="D19" i="24"/>
  <c r="F15" i="24"/>
  <c r="AA3" i="42"/>
  <c r="O55" i="5"/>
  <c r="AA3" i="37"/>
  <c r="O50" i="5"/>
  <c r="P50" i="5" s="1"/>
  <c r="AR10" i="24"/>
  <c r="D13" i="25"/>
  <c r="F13" i="25" s="1"/>
  <c r="G13" i="25" s="1"/>
  <c r="D10" i="24"/>
  <c r="J3" i="38"/>
  <c r="G18" i="24"/>
  <c r="H19" i="25" s="1"/>
  <c r="J18" i="24"/>
  <c r="F18" i="24" s="1"/>
  <c r="E18" i="24"/>
  <c r="I18" i="24"/>
  <c r="J3" i="41"/>
  <c r="J3" i="43"/>
  <c r="J3" i="45"/>
  <c r="J3" i="47"/>
  <c r="J19" i="24"/>
  <c r="D19" i="25"/>
  <c r="F19" i="25" s="1"/>
  <c r="G19" i="25" s="1"/>
  <c r="D15" i="24"/>
  <c r="J10" i="24"/>
  <c r="AA3" i="41"/>
  <c r="O54" i="5"/>
  <c r="P54" i="5" s="1"/>
  <c r="AR20" i="24"/>
  <c r="AR21" i="24"/>
  <c r="AR19" i="24"/>
  <c r="AA3" i="43"/>
  <c r="O56" i="5"/>
  <c r="AA3" i="47"/>
  <c r="O60" i="5"/>
  <c r="D16" i="24"/>
  <c r="AA3" i="40"/>
  <c r="O53" i="5"/>
  <c r="P53" i="5" s="1"/>
  <c r="AR18" i="24"/>
  <c r="U42" i="26"/>
  <c r="Y1" i="26" s="1"/>
  <c r="F43" i="26"/>
  <c r="E43" i="26"/>
  <c r="C43" i="26"/>
  <c r="D43" i="26"/>
  <c r="Z11" i="26" l="1"/>
  <c r="D17" i="25"/>
  <c r="F17" i="25" s="1"/>
  <c r="G17" i="25" s="1"/>
  <c r="AB11" i="26"/>
  <c r="R20" i="23"/>
  <c r="S23" i="23"/>
  <c r="H17" i="23"/>
  <c r="I37" i="25"/>
  <c r="K29" i="24"/>
  <c r="C17" i="23"/>
  <c r="I22" i="2"/>
  <c r="K28" i="24"/>
  <c r="C16" i="23"/>
  <c r="I21" i="2"/>
  <c r="H16" i="23"/>
  <c r="I35" i="25"/>
  <c r="H15" i="23"/>
  <c r="I33" i="25"/>
  <c r="K27" i="24"/>
  <c r="C15" i="23"/>
  <c r="I20" i="2"/>
  <c r="H13" i="23"/>
  <c r="I29" i="25"/>
  <c r="K25" i="24"/>
  <c r="C13" i="23"/>
  <c r="I18" i="2"/>
  <c r="H12" i="23"/>
  <c r="I27" i="25"/>
  <c r="K24" i="24"/>
  <c r="I17" i="2"/>
  <c r="C12" i="23"/>
  <c r="H11" i="23"/>
  <c r="I25" i="25"/>
  <c r="K23" i="24"/>
  <c r="C11" i="23"/>
  <c r="I16" i="2"/>
  <c r="I14" i="2"/>
  <c r="C10" i="23"/>
  <c r="H10" i="23"/>
  <c r="I19" i="25"/>
  <c r="J19" i="25" s="1"/>
  <c r="K19" i="25" s="1"/>
  <c r="O23" i="23"/>
  <c r="P23" i="23" s="1"/>
  <c r="N20" i="23"/>
  <c r="I12" i="2"/>
  <c r="C8" i="23"/>
  <c r="D20" i="24"/>
  <c r="AS20" i="24" s="1"/>
  <c r="H7" i="23"/>
  <c r="I15" i="25"/>
  <c r="C7" i="23"/>
  <c r="I11" i="2"/>
  <c r="H6" i="23"/>
  <c r="I13" i="25"/>
  <c r="F20" i="23"/>
  <c r="G23" i="23"/>
  <c r="H23" i="23" s="1"/>
  <c r="AA11" i="26"/>
  <c r="K26" i="24"/>
  <c r="C14" i="23"/>
  <c r="I19" i="2"/>
  <c r="AA20" i="23"/>
  <c r="D21" i="25"/>
  <c r="F21" i="25" s="1"/>
  <c r="G21" i="25" s="1"/>
  <c r="I21" i="25" s="1"/>
  <c r="K8" i="24"/>
  <c r="F8" i="24" s="1"/>
  <c r="G8" i="24" s="1"/>
  <c r="I8" i="2"/>
  <c r="AT18" i="24"/>
  <c r="AS18" i="24"/>
  <c r="J12" i="24"/>
  <c r="D12" i="24"/>
  <c r="D35" i="25"/>
  <c r="F35" i="25" s="1"/>
  <c r="G35" i="25" s="1"/>
  <c r="E28" i="24"/>
  <c r="I28" i="24" s="1"/>
  <c r="J28" i="24" s="1"/>
  <c r="D28" i="24"/>
  <c r="H28" i="24" s="1"/>
  <c r="D27" i="25"/>
  <c r="E24" i="24"/>
  <c r="I24" i="24" s="1"/>
  <c r="J24" i="24" s="1"/>
  <c r="D24" i="24"/>
  <c r="H24" i="24" s="1"/>
  <c r="D15" i="25"/>
  <c r="F15" i="25" s="1"/>
  <c r="G15" i="25" s="1"/>
  <c r="H11" i="24"/>
  <c r="J11" i="24"/>
  <c r="D14" i="24"/>
  <c r="J14" i="24"/>
  <c r="D21" i="24"/>
  <c r="D17" i="24"/>
  <c r="F17" i="24"/>
  <c r="D13" i="24"/>
  <c r="J13" i="24"/>
  <c r="U1" i="26"/>
  <c r="P41" i="5" s="1"/>
  <c r="D29" i="24" l="1"/>
  <c r="H29" i="24" s="1"/>
  <c r="D37" i="25"/>
  <c r="F37" i="25" s="1"/>
  <c r="G37" i="25" s="1"/>
  <c r="E29" i="24"/>
  <c r="I29" i="24" s="1"/>
  <c r="J29" i="24" s="1"/>
  <c r="D27" i="24"/>
  <c r="H27" i="24" s="1"/>
  <c r="E27" i="24"/>
  <c r="I27" i="24" s="1"/>
  <c r="J27" i="24" s="1"/>
  <c r="D33" i="25"/>
  <c r="F33" i="25" s="1"/>
  <c r="G33" i="25" s="1"/>
  <c r="D25" i="24"/>
  <c r="H25" i="24" s="1"/>
  <c r="E25" i="24"/>
  <c r="I25" i="24" s="1"/>
  <c r="J25" i="24" s="1"/>
  <c r="D29" i="25"/>
  <c r="F29" i="25" s="1"/>
  <c r="G29" i="25" s="1"/>
  <c r="E23" i="24"/>
  <c r="I23" i="24" s="1"/>
  <c r="J23" i="24" s="1"/>
  <c r="D25" i="25"/>
  <c r="F25" i="25" s="1"/>
  <c r="D23" i="24"/>
  <c r="H23" i="24" s="1"/>
  <c r="K30" i="24"/>
  <c r="AT20" i="24"/>
  <c r="H8" i="23"/>
  <c r="I17" i="25"/>
  <c r="H4" i="23"/>
  <c r="I9" i="25"/>
  <c r="D9" i="25"/>
  <c r="F9" i="25" s="1"/>
  <c r="G9" i="25" s="1"/>
  <c r="J8" i="24"/>
  <c r="D8" i="24"/>
  <c r="D26" i="24"/>
  <c r="H26" i="24" s="1"/>
  <c r="H14" i="23"/>
  <c r="I31" i="25"/>
  <c r="D31" i="25"/>
  <c r="F31" i="25" s="1"/>
  <c r="G31" i="25" s="1"/>
  <c r="E26" i="24"/>
  <c r="I26" i="24" s="1"/>
  <c r="J26" i="24" s="1"/>
  <c r="AS19" i="24"/>
  <c r="AT19" i="24"/>
  <c r="AT21" i="24"/>
  <c r="AS21" i="24"/>
  <c r="F27" i="25"/>
  <c r="B3" i="5"/>
  <c r="C20" i="5"/>
  <c r="P20" i="5" s="1"/>
  <c r="AZ29" i="24"/>
  <c r="AY29" i="24"/>
  <c r="AX29" i="24"/>
  <c r="AU29" i="24"/>
  <c r="AQ29" i="24"/>
  <c r="AF29" i="24"/>
  <c r="AG29" i="24" s="1"/>
  <c r="AZ28" i="24"/>
  <c r="AY28" i="24"/>
  <c r="AX28" i="24"/>
  <c r="AU28" i="24"/>
  <c r="AQ28" i="24"/>
  <c r="AF28" i="24"/>
  <c r="AW28" i="24" s="1"/>
  <c r="AZ27" i="24"/>
  <c r="AY27" i="24"/>
  <c r="AX27" i="24"/>
  <c r="AU27" i="24"/>
  <c r="AQ27" i="24"/>
  <c r="AF27" i="24"/>
  <c r="AW27" i="24" s="1"/>
  <c r="AZ26" i="24"/>
  <c r="AY26" i="24"/>
  <c r="AX26" i="24"/>
  <c r="AU26" i="24"/>
  <c r="AQ26" i="24"/>
  <c r="AF26" i="24"/>
  <c r="AW26" i="24" s="1"/>
  <c r="AZ25" i="24"/>
  <c r="AY25" i="24"/>
  <c r="AX25" i="24"/>
  <c r="AU25" i="24"/>
  <c r="AQ25" i="24"/>
  <c r="AF25" i="24"/>
  <c r="AG25" i="24" s="1"/>
  <c r="AZ24" i="24"/>
  <c r="AY24" i="24"/>
  <c r="AX24" i="24"/>
  <c r="AU24" i="24"/>
  <c r="AQ24" i="24"/>
  <c r="AF24" i="24"/>
  <c r="AW24" i="24" s="1"/>
  <c r="AZ23" i="24"/>
  <c r="AY23" i="24"/>
  <c r="AX23" i="24"/>
  <c r="AU23" i="24"/>
  <c r="AQ23" i="24"/>
  <c r="AF23" i="24"/>
  <c r="AW23" i="24" s="1"/>
  <c r="G23" i="24"/>
  <c r="H25" i="25" s="1"/>
  <c r="J25" i="25" s="1"/>
  <c r="K25" i="25" s="1"/>
  <c r="AZ22" i="24"/>
  <c r="AY22" i="24"/>
  <c r="AX22" i="24"/>
  <c r="AW22" i="24" s="1"/>
  <c r="AZ21" i="24"/>
  <c r="AY21" i="24"/>
  <c r="AX21" i="24"/>
  <c r="AU21" i="24"/>
  <c r="AJ21" i="24"/>
  <c r="AF21" i="24"/>
  <c r="AG21" i="24" s="1"/>
  <c r="H21" i="24"/>
  <c r="AZ20" i="24"/>
  <c r="AY20" i="24"/>
  <c r="AX20" i="24"/>
  <c r="AU20" i="24"/>
  <c r="AV20" i="24" s="1"/>
  <c r="AF20" i="24"/>
  <c r="AW20" i="24" s="1"/>
  <c r="H20" i="24"/>
  <c r="AZ19" i="24"/>
  <c r="AY19" i="24"/>
  <c r="AX19" i="24"/>
  <c r="AU19" i="24"/>
  <c r="AF19" i="24"/>
  <c r="AG19" i="24" s="1"/>
  <c r="H19" i="24"/>
  <c r="AZ18" i="24"/>
  <c r="AY18" i="24"/>
  <c r="AX18" i="24"/>
  <c r="AU18" i="24"/>
  <c r="AA18" i="24"/>
  <c r="AJ18" i="24"/>
  <c r="AF18" i="24"/>
  <c r="AG18" i="24" s="1"/>
  <c r="AZ17" i="24"/>
  <c r="AY17" i="24"/>
  <c r="AX17" i="24"/>
  <c r="AU17" i="24"/>
  <c r="AJ17" i="24"/>
  <c r="AF17" i="24"/>
  <c r="AG17" i="24" s="1"/>
  <c r="H17" i="24"/>
  <c r="G17" i="24"/>
  <c r="AZ16" i="24"/>
  <c r="AY16" i="24"/>
  <c r="AX16" i="24"/>
  <c r="AW16" i="24" s="1"/>
  <c r="AU16" i="24"/>
  <c r="H16" i="24"/>
  <c r="AZ15" i="24"/>
  <c r="AY15" i="24"/>
  <c r="AX15" i="24"/>
  <c r="AU15" i="24"/>
  <c r="AF15" i="24"/>
  <c r="AW15" i="24" s="1"/>
  <c r="H15" i="24"/>
  <c r="G15" i="24"/>
  <c r="AZ14" i="24"/>
  <c r="AY14" i="24"/>
  <c r="AX14" i="24"/>
  <c r="AU14" i="24"/>
  <c r="AF14" i="24"/>
  <c r="AG14" i="24" s="1"/>
  <c r="H14" i="24"/>
  <c r="AZ13" i="24"/>
  <c r="AY13" i="24"/>
  <c r="AX13" i="24"/>
  <c r="AU13" i="24"/>
  <c r="AJ13" i="24"/>
  <c r="AF13" i="24"/>
  <c r="AG13" i="24" s="1"/>
  <c r="H13" i="24"/>
  <c r="F13" i="24"/>
  <c r="G13" i="24" s="1"/>
  <c r="AZ12" i="24"/>
  <c r="AY12" i="24"/>
  <c r="AX12" i="24"/>
  <c r="AU12" i="24"/>
  <c r="AF12" i="24"/>
  <c r="AG12" i="24" s="1"/>
  <c r="H12" i="24"/>
  <c r="AZ11" i="24"/>
  <c r="AY11" i="24"/>
  <c r="AX11" i="24"/>
  <c r="AU11" i="24"/>
  <c r="AJ11" i="24"/>
  <c r="AF11" i="24"/>
  <c r="AG11" i="24" s="1"/>
  <c r="G11" i="24"/>
  <c r="AZ10" i="24"/>
  <c r="AY10" i="24"/>
  <c r="AX10" i="24"/>
  <c r="AU10" i="24"/>
  <c r="AQ10" i="24"/>
  <c r="AF10" i="24"/>
  <c r="AW10" i="24" s="1"/>
  <c r="H10" i="24"/>
  <c r="J3" i="25" s="1"/>
  <c r="G10" i="24"/>
  <c r="H13" i="25" s="1"/>
  <c r="J13" i="25" s="1"/>
  <c r="K13" i="25" s="1"/>
  <c r="AZ9" i="24"/>
  <c r="AY9" i="24"/>
  <c r="AX9" i="24"/>
  <c r="AU9" i="24"/>
  <c r="AQ9" i="24"/>
  <c r="AF9" i="24"/>
  <c r="AG9" i="24" s="1"/>
  <c r="AZ8" i="24"/>
  <c r="AY8" i="24"/>
  <c r="AX8" i="24"/>
  <c r="AU8" i="24"/>
  <c r="AQ8" i="24"/>
  <c r="AT8" i="24" s="1"/>
  <c r="AJ8" i="24"/>
  <c r="AF8" i="24"/>
  <c r="AZ7" i="24"/>
  <c r="AY7" i="24"/>
  <c r="AX7" i="24"/>
  <c r="AU7" i="24"/>
  <c r="AQ7" i="24"/>
  <c r="AF7" i="24"/>
  <c r="AG7" i="24" s="1"/>
  <c r="D13" i="6"/>
  <c r="G17" i="6"/>
  <c r="G15" i="6"/>
  <c r="G16" i="6"/>
  <c r="G10" i="6"/>
  <c r="G11" i="6"/>
  <c r="G12" i="6"/>
  <c r="G9" i="6"/>
  <c r="C14" i="6"/>
  <c r="E13" i="6"/>
  <c r="F13" i="6"/>
  <c r="AW9" i="24" l="1"/>
  <c r="AG10" i="24"/>
  <c r="AW14" i="24"/>
  <c r="AG23" i="24"/>
  <c r="AG26" i="24"/>
  <c r="AW29" i="24"/>
  <c r="G25" i="25"/>
  <c r="F39" i="25"/>
  <c r="G29" i="24"/>
  <c r="H37" i="25" s="1"/>
  <c r="G26" i="24"/>
  <c r="D39" i="25"/>
  <c r="AV10" i="24"/>
  <c r="AT10" i="24"/>
  <c r="AA10" i="24" s="1"/>
  <c r="AG20" i="24"/>
  <c r="G27" i="25"/>
  <c r="G39" i="25" s="1"/>
  <c r="AW7" i="24"/>
  <c r="AJ10" i="24"/>
  <c r="AS10" i="24"/>
  <c r="AW12" i="24"/>
  <c r="AW18" i="24"/>
  <c r="AW19" i="24"/>
  <c r="AJ23" i="24"/>
  <c r="AJ24" i="24"/>
  <c r="AW25" i="24"/>
  <c r="AJ26" i="24"/>
  <c r="AJ20" i="24"/>
  <c r="AJ19" i="24"/>
  <c r="AA14" i="24"/>
  <c r="AJ14" i="24"/>
  <c r="AJ12" i="24"/>
  <c r="AA12" i="24"/>
  <c r="G13" i="6"/>
  <c r="AJ7" i="24"/>
  <c r="H8" i="24"/>
  <c r="AA8" i="24"/>
  <c r="AS8" i="24"/>
  <c r="AW8" i="24"/>
  <c r="AG8" i="24"/>
  <c r="AV8" i="24"/>
  <c r="AV11" i="24"/>
  <c r="AV13" i="24"/>
  <c r="AW13" i="24"/>
  <c r="J21" i="25"/>
  <c r="K21" i="25" s="1"/>
  <c r="AW21" i="24"/>
  <c r="G24" i="24"/>
  <c r="H27" i="25" s="1"/>
  <c r="J27" i="25" s="1"/>
  <c r="K27" i="25" s="1"/>
  <c r="AG24" i="24"/>
  <c r="G27" i="24"/>
  <c r="H33" i="25" s="1"/>
  <c r="J33" i="25" s="1"/>
  <c r="K33" i="25" s="1"/>
  <c r="AG27" i="24"/>
  <c r="AV17" i="24"/>
  <c r="AW11" i="24"/>
  <c r="AW17" i="24"/>
  <c r="AA11" i="24"/>
  <c r="F12" i="24"/>
  <c r="G12" i="24" s="1"/>
  <c r="AV12" i="24"/>
  <c r="AA13" i="24"/>
  <c r="F14" i="24"/>
  <c r="G14" i="24" s="1"/>
  <c r="AV14" i="24"/>
  <c r="AG15" i="24"/>
  <c r="J4" i="25" s="1"/>
  <c r="G16" i="24"/>
  <c r="H17" i="25" s="1"/>
  <c r="J17" i="25" s="1"/>
  <c r="K17" i="25" s="1"/>
  <c r="AV16" i="24"/>
  <c r="AA17" i="24"/>
  <c r="AV18" i="24"/>
  <c r="AV19" i="24"/>
  <c r="G25" i="24"/>
  <c r="H29" i="25" s="1"/>
  <c r="J29" i="25" s="1"/>
  <c r="K29" i="25" s="1"/>
  <c r="AJ27" i="24"/>
  <c r="G28" i="24"/>
  <c r="H35" i="25" s="1"/>
  <c r="J35" i="25" s="1"/>
  <c r="K35" i="25" s="1"/>
  <c r="AG28" i="24"/>
  <c r="AV21" i="24"/>
  <c r="AJ28" i="24"/>
  <c r="AF13" i="22"/>
  <c r="AR128" i="22"/>
  <c r="AR127" i="22"/>
  <c r="AR125" i="22"/>
  <c r="AR124" i="22"/>
  <c r="AM118" i="22"/>
  <c r="AH112" i="22"/>
  <c r="AF112" i="22"/>
  <c r="AE112" i="22"/>
  <c r="J112" i="22"/>
  <c r="I112" i="22"/>
  <c r="AH111" i="22"/>
  <c r="AF111" i="22"/>
  <c r="AE111" i="22"/>
  <c r="I111" i="22"/>
  <c r="J111" i="22" s="1"/>
  <c r="AH110" i="22"/>
  <c r="AF110" i="22"/>
  <c r="AE110" i="22"/>
  <c r="I110" i="22"/>
  <c r="J110" i="22" s="1"/>
  <c r="AH109" i="22"/>
  <c r="AF109" i="22"/>
  <c r="AE109" i="22"/>
  <c r="I109" i="22"/>
  <c r="J109" i="22" s="1"/>
  <c r="AH108" i="22"/>
  <c r="AF108" i="22"/>
  <c r="AE108" i="22"/>
  <c r="I108" i="22"/>
  <c r="J108" i="22" s="1"/>
  <c r="AH107" i="22"/>
  <c r="AF107" i="22"/>
  <c r="AE107" i="22"/>
  <c r="I107" i="22"/>
  <c r="J107" i="22" s="1"/>
  <c r="AH106" i="22"/>
  <c r="AF106" i="22"/>
  <c r="AE106" i="22"/>
  <c r="I106" i="22"/>
  <c r="J106" i="22" s="1"/>
  <c r="AH105" i="22"/>
  <c r="AF105" i="22"/>
  <c r="AE105" i="22"/>
  <c r="I105" i="22"/>
  <c r="J105" i="22" s="1"/>
  <c r="AH104" i="22"/>
  <c r="AF104" i="22"/>
  <c r="AE104" i="22"/>
  <c r="I104" i="22"/>
  <c r="J104" i="22" s="1"/>
  <c r="AH103" i="22"/>
  <c r="AF103" i="22"/>
  <c r="AE103" i="22"/>
  <c r="I103" i="22"/>
  <c r="J103" i="22" s="1"/>
  <c r="AH102" i="22"/>
  <c r="AF102" i="22"/>
  <c r="AE102" i="22"/>
  <c r="I102" i="22"/>
  <c r="J102" i="22" s="1"/>
  <c r="AH101" i="22"/>
  <c r="AF101" i="22"/>
  <c r="AE101" i="22"/>
  <c r="I101" i="22"/>
  <c r="J101" i="22" s="1"/>
  <c r="AH100" i="22"/>
  <c r="AF100" i="22"/>
  <c r="AE100" i="22"/>
  <c r="I100" i="22"/>
  <c r="J100" i="22" s="1"/>
  <c r="AH99" i="22"/>
  <c r="AF99" i="22"/>
  <c r="AE99" i="22"/>
  <c r="I99" i="22"/>
  <c r="J99" i="22" s="1"/>
  <c r="AH98" i="22"/>
  <c r="AF98" i="22"/>
  <c r="AE98" i="22"/>
  <c r="I98" i="22"/>
  <c r="J98" i="22" s="1"/>
  <c r="AH97" i="22"/>
  <c r="AF97" i="22"/>
  <c r="AE97" i="22"/>
  <c r="I97" i="22"/>
  <c r="J97" i="22" s="1"/>
  <c r="AH96" i="22"/>
  <c r="AF96" i="22"/>
  <c r="AE96" i="22"/>
  <c r="I96" i="22"/>
  <c r="J96" i="22" s="1"/>
  <c r="AH95" i="22"/>
  <c r="AF95" i="22"/>
  <c r="AE95" i="22"/>
  <c r="I95" i="22"/>
  <c r="J95" i="22" s="1"/>
  <c r="AH94" i="22"/>
  <c r="AF94" i="22"/>
  <c r="AE94" i="22"/>
  <c r="I94" i="22"/>
  <c r="J94" i="22" s="1"/>
  <c r="AH93" i="22"/>
  <c r="AF93" i="22"/>
  <c r="AE93" i="22"/>
  <c r="I93" i="22"/>
  <c r="J93" i="22" s="1"/>
  <c r="AH92" i="22"/>
  <c r="AF92" i="22"/>
  <c r="AE92" i="22"/>
  <c r="J92" i="22"/>
  <c r="I92" i="22"/>
  <c r="AH91" i="22"/>
  <c r="AF91" i="22"/>
  <c r="AE91" i="22"/>
  <c r="I91" i="22"/>
  <c r="J91" i="22" s="1"/>
  <c r="AH90" i="22"/>
  <c r="AF90" i="22"/>
  <c r="AE90" i="22"/>
  <c r="I90" i="22"/>
  <c r="J90" i="22" s="1"/>
  <c r="AH89" i="22"/>
  <c r="AF89" i="22"/>
  <c r="AE89" i="22"/>
  <c r="I89" i="22"/>
  <c r="J89" i="22" s="1"/>
  <c r="AH88" i="22"/>
  <c r="AF88" i="22"/>
  <c r="AE88" i="22"/>
  <c r="I88" i="22"/>
  <c r="J88" i="22" s="1"/>
  <c r="AH87" i="22"/>
  <c r="AF87" i="22"/>
  <c r="AE87" i="22"/>
  <c r="I87" i="22"/>
  <c r="J87" i="22" s="1"/>
  <c r="AH86" i="22"/>
  <c r="AF86" i="22"/>
  <c r="AE86" i="22"/>
  <c r="I86" i="22"/>
  <c r="J86" i="22" s="1"/>
  <c r="AH85" i="22"/>
  <c r="AF85" i="22"/>
  <c r="AE85" i="22"/>
  <c r="I85" i="22"/>
  <c r="J85" i="22" s="1"/>
  <c r="AH84" i="22"/>
  <c r="AF84" i="22"/>
  <c r="AE84" i="22"/>
  <c r="I84" i="22"/>
  <c r="J84" i="22" s="1"/>
  <c r="AH83" i="22"/>
  <c r="AF83" i="22"/>
  <c r="AE83" i="22"/>
  <c r="I83" i="22"/>
  <c r="J83" i="22" s="1"/>
  <c r="AH82" i="22"/>
  <c r="AF82" i="22"/>
  <c r="AE82" i="22"/>
  <c r="I82" i="22"/>
  <c r="J82" i="22" s="1"/>
  <c r="AH81" i="22"/>
  <c r="AF81" i="22"/>
  <c r="AE81" i="22"/>
  <c r="I81" i="22"/>
  <c r="J81" i="22" s="1"/>
  <c r="AH80" i="22"/>
  <c r="AF80" i="22"/>
  <c r="AE80" i="22"/>
  <c r="I80" i="22"/>
  <c r="J80" i="22" s="1"/>
  <c r="AH79" i="22"/>
  <c r="AF79" i="22"/>
  <c r="AE79" i="22"/>
  <c r="I79" i="22"/>
  <c r="J79" i="22" s="1"/>
  <c r="AH78" i="22"/>
  <c r="AF78" i="22"/>
  <c r="AE78" i="22"/>
  <c r="I78" i="22"/>
  <c r="J78" i="22" s="1"/>
  <c r="AH77" i="22"/>
  <c r="AF77" i="22"/>
  <c r="AE77" i="22"/>
  <c r="I77" i="22"/>
  <c r="J77" i="22" s="1"/>
  <c r="AH76" i="22"/>
  <c r="AF76" i="22"/>
  <c r="AE76" i="22"/>
  <c r="I76" i="22"/>
  <c r="J76" i="22" s="1"/>
  <c r="AH75" i="22"/>
  <c r="AF75" i="22"/>
  <c r="AE75" i="22"/>
  <c r="I75" i="22"/>
  <c r="J75" i="22" s="1"/>
  <c r="AH74" i="22"/>
  <c r="AF74" i="22"/>
  <c r="AE74" i="22"/>
  <c r="I74" i="22"/>
  <c r="J74" i="22" s="1"/>
  <c r="AH73" i="22"/>
  <c r="AF73" i="22"/>
  <c r="AE73" i="22"/>
  <c r="I73" i="22"/>
  <c r="J73" i="22" s="1"/>
  <c r="AH72" i="22"/>
  <c r="AF72" i="22"/>
  <c r="AE72" i="22"/>
  <c r="I72" i="22"/>
  <c r="J72" i="22" s="1"/>
  <c r="AH71" i="22"/>
  <c r="AF71" i="22"/>
  <c r="AE71" i="22"/>
  <c r="I71" i="22"/>
  <c r="J71" i="22" s="1"/>
  <c r="AH70" i="22"/>
  <c r="AF70" i="22"/>
  <c r="AE70" i="22"/>
  <c r="I70" i="22"/>
  <c r="J70" i="22" s="1"/>
  <c r="AH69" i="22"/>
  <c r="AF69" i="22"/>
  <c r="AE69" i="22"/>
  <c r="I69" i="22"/>
  <c r="J69" i="22" s="1"/>
  <c r="AH68" i="22"/>
  <c r="AF68" i="22"/>
  <c r="AE68" i="22"/>
  <c r="I68" i="22"/>
  <c r="J68" i="22" s="1"/>
  <c r="AH67" i="22"/>
  <c r="AF67" i="22"/>
  <c r="AE67" i="22"/>
  <c r="J67" i="22"/>
  <c r="I67" i="22"/>
  <c r="AH66" i="22"/>
  <c r="AF66" i="22"/>
  <c r="AE66" i="22"/>
  <c r="I66" i="22"/>
  <c r="J66" i="22" s="1"/>
  <c r="AH65" i="22"/>
  <c r="AF65" i="22"/>
  <c r="AE65" i="22"/>
  <c r="I65" i="22"/>
  <c r="J65" i="22" s="1"/>
  <c r="AH64" i="22"/>
  <c r="AF64" i="22"/>
  <c r="AE64" i="22"/>
  <c r="I64" i="22"/>
  <c r="J64" i="22" s="1"/>
  <c r="AH63" i="22"/>
  <c r="AF63" i="22"/>
  <c r="AE63" i="22"/>
  <c r="I63" i="22"/>
  <c r="J63" i="22" s="1"/>
  <c r="AH62" i="22"/>
  <c r="AF62" i="22"/>
  <c r="AE62" i="22"/>
  <c r="I62" i="22"/>
  <c r="J62" i="22" s="1"/>
  <c r="AH61" i="22"/>
  <c r="AF61" i="22"/>
  <c r="AE61" i="22"/>
  <c r="I61" i="22"/>
  <c r="J61" i="22" s="1"/>
  <c r="AH60" i="22"/>
  <c r="AF60" i="22"/>
  <c r="AE60" i="22"/>
  <c r="I60" i="22"/>
  <c r="J60" i="22" s="1"/>
  <c r="AH59" i="22"/>
  <c r="AF59" i="22"/>
  <c r="AE59" i="22"/>
  <c r="I59" i="22"/>
  <c r="J59" i="22" s="1"/>
  <c r="AH58" i="22"/>
  <c r="AF58" i="22"/>
  <c r="AE58" i="22"/>
  <c r="I58" i="22"/>
  <c r="J58" i="22" s="1"/>
  <c r="AH57" i="22"/>
  <c r="AF57" i="22"/>
  <c r="AE57" i="22"/>
  <c r="I57" i="22"/>
  <c r="J57" i="22" s="1"/>
  <c r="AH56" i="22"/>
  <c r="AF56" i="22"/>
  <c r="AE56" i="22"/>
  <c r="I56" i="22"/>
  <c r="J56" i="22" s="1"/>
  <c r="AH55" i="22"/>
  <c r="AF55" i="22"/>
  <c r="AE55" i="22"/>
  <c r="I55" i="22"/>
  <c r="J55" i="22" s="1"/>
  <c r="AH54" i="22"/>
  <c r="AF54" i="22"/>
  <c r="AE54" i="22"/>
  <c r="I54" i="22"/>
  <c r="J54" i="22" s="1"/>
  <c r="AH53" i="22"/>
  <c r="AF53" i="22"/>
  <c r="AE53" i="22"/>
  <c r="I53" i="22"/>
  <c r="J53" i="22" s="1"/>
  <c r="AH52" i="22"/>
  <c r="AF52" i="22"/>
  <c r="AE52" i="22"/>
  <c r="I52" i="22"/>
  <c r="J52" i="22" s="1"/>
  <c r="AH51" i="22"/>
  <c r="AF51" i="22"/>
  <c r="AE51" i="22"/>
  <c r="I51" i="22"/>
  <c r="J51" i="22" s="1"/>
  <c r="AH50" i="22"/>
  <c r="AF50" i="22"/>
  <c r="AE50" i="22"/>
  <c r="I50" i="22"/>
  <c r="J50" i="22" s="1"/>
  <c r="AH49" i="22"/>
  <c r="AF49" i="22"/>
  <c r="AE49" i="22"/>
  <c r="I49" i="22"/>
  <c r="J49" i="22" s="1"/>
  <c r="AH48" i="22"/>
  <c r="AF48" i="22"/>
  <c r="AE48" i="22"/>
  <c r="I48" i="22"/>
  <c r="J48" i="22" s="1"/>
  <c r="AH47" i="22"/>
  <c r="AF47" i="22"/>
  <c r="AE47" i="22"/>
  <c r="I47" i="22"/>
  <c r="J47" i="22" s="1"/>
  <c r="AH46" i="22"/>
  <c r="AF46" i="22"/>
  <c r="AE46" i="22"/>
  <c r="I46" i="22"/>
  <c r="J46" i="22" s="1"/>
  <c r="AH45" i="22"/>
  <c r="AF45" i="22"/>
  <c r="AE45" i="22"/>
  <c r="I45" i="22"/>
  <c r="J45" i="22" s="1"/>
  <c r="AH44" i="22"/>
  <c r="AF44" i="22"/>
  <c r="AE44" i="22"/>
  <c r="I44" i="22"/>
  <c r="J44" i="22" s="1"/>
  <c r="AH43" i="22"/>
  <c r="AF43" i="22"/>
  <c r="AE43" i="22"/>
  <c r="I43" i="22"/>
  <c r="J43" i="22" s="1"/>
  <c r="AH42" i="22"/>
  <c r="AF42" i="22"/>
  <c r="AE42" i="22"/>
  <c r="I42" i="22"/>
  <c r="J42" i="22" s="1"/>
  <c r="AH41" i="22"/>
  <c r="AF41" i="22"/>
  <c r="AE41" i="22"/>
  <c r="I41" i="22"/>
  <c r="J41" i="22" s="1"/>
  <c r="AH40" i="22"/>
  <c r="AF40" i="22"/>
  <c r="AE40" i="22"/>
  <c r="I40" i="22"/>
  <c r="J40" i="22" s="1"/>
  <c r="AH39" i="22"/>
  <c r="AF39" i="22"/>
  <c r="AE39" i="22"/>
  <c r="I39" i="22"/>
  <c r="J39" i="22" s="1"/>
  <c r="AH38" i="22"/>
  <c r="AF38" i="22"/>
  <c r="AE38" i="22"/>
  <c r="I38" i="22"/>
  <c r="J38" i="22" s="1"/>
  <c r="AH37" i="22"/>
  <c r="AF37" i="22"/>
  <c r="AE37" i="22"/>
  <c r="I37" i="22"/>
  <c r="J37" i="22" s="1"/>
  <c r="AH36" i="22"/>
  <c r="AF36" i="22"/>
  <c r="AE36" i="22"/>
  <c r="I36" i="22"/>
  <c r="J36" i="22" s="1"/>
  <c r="AH35" i="22"/>
  <c r="AF35" i="22"/>
  <c r="AE35" i="22"/>
  <c r="I35" i="22"/>
  <c r="J35" i="22" s="1"/>
  <c r="AH34" i="22"/>
  <c r="AF34" i="22"/>
  <c r="AE34" i="22"/>
  <c r="I34" i="22"/>
  <c r="J34" i="22" s="1"/>
  <c r="AH33" i="22"/>
  <c r="AF33" i="22"/>
  <c r="AE33" i="22"/>
  <c r="I33" i="22"/>
  <c r="J33" i="22" s="1"/>
  <c r="AH32" i="22"/>
  <c r="AF32" i="22"/>
  <c r="AE32" i="22"/>
  <c r="I32" i="22"/>
  <c r="J32" i="22" s="1"/>
  <c r="AH31" i="22"/>
  <c r="AF31" i="22"/>
  <c r="AE31" i="22"/>
  <c r="I31" i="22"/>
  <c r="J31" i="22" s="1"/>
  <c r="AH30" i="22"/>
  <c r="AF30" i="22"/>
  <c r="AE30" i="22"/>
  <c r="I30" i="22"/>
  <c r="J30" i="22" s="1"/>
  <c r="AH29" i="22"/>
  <c r="AF29" i="22"/>
  <c r="AE29" i="22"/>
  <c r="I29" i="22"/>
  <c r="J29" i="22" s="1"/>
  <c r="AH28" i="22"/>
  <c r="AF28" i="22"/>
  <c r="AE28" i="22"/>
  <c r="I28" i="22"/>
  <c r="J28" i="22" s="1"/>
  <c r="AH27" i="22"/>
  <c r="AF27" i="22"/>
  <c r="AE27" i="22"/>
  <c r="I27" i="22"/>
  <c r="J27" i="22" s="1"/>
  <c r="AH26" i="22"/>
  <c r="AF26" i="22"/>
  <c r="AE26" i="22"/>
  <c r="I26" i="22"/>
  <c r="J26" i="22" s="1"/>
  <c r="AH25" i="22"/>
  <c r="AF25" i="22"/>
  <c r="AE25" i="22"/>
  <c r="I25" i="22"/>
  <c r="J25" i="22" s="1"/>
  <c r="AH24" i="22"/>
  <c r="AF24" i="22"/>
  <c r="AE24" i="22"/>
  <c r="I24" i="22"/>
  <c r="J24" i="22" s="1"/>
  <c r="AH23" i="22"/>
  <c r="AF23" i="22"/>
  <c r="AE23" i="22"/>
  <c r="I23" i="22"/>
  <c r="J23" i="22" s="1"/>
  <c r="AH22" i="22"/>
  <c r="AF22" i="22"/>
  <c r="AE22" i="22"/>
  <c r="I22" i="22"/>
  <c r="AH21" i="22"/>
  <c r="AF21" i="22"/>
  <c r="AE21" i="22"/>
  <c r="I21" i="22"/>
  <c r="J21" i="22" s="1"/>
  <c r="AH20" i="22"/>
  <c r="AF20" i="22"/>
  <c r="AE20" i="22"/>
  <c r="J20" i="22"/>
  <c r="I20" i="22"/>
  <c r="AH19" i="22"/>
  <c r="AF19" i="22"/>
  <c r="AE19" i="22"/>
  <c r="I19" i="22"/>
  <c r="J19" i="22" s="1"/>
  <c r="AH18" i="22"/>
  <c r="AF18" i="22"/>
  <c r="AE18" i="22"/>
  <c r="I18" i="22"/>
  <c r="J18" i="22" s="1"/>
  <c r="AH17" i="22"/>
  <c r="AF17" i="22"/>
  <c r="AE17" i="22"/>
  <c r="I17" i="22"/>
  <c r="J17" i="22" s="1"/>
  <c r="AH16" i="22"/>
  <c r="AF16" i="22"/>
  <c r="AE16" i="22"/>
  <c r="I16" i="22"/>
  <c r="J16" i="22" s="1"/>
  <c r="AH15" i="22"/>
  <c r="AR126" i="22" s="1"/>
  <c r="AF15" i="22"/>
  <c r="AE15" i="22"/>
  <c r="K15" i="22" s="1"/>
  <c r="I15" i="22"/>
  <c r="J15" i="22" s="1"/>
  <c r="AH14" i="22"/>
  <c r="AF14" i="22"/>
  <c r="AE14" i="22"/>
  <c r="K14" i="22" s="1"/>
  <c r="I14" i="22"/>
  <c r="J14" i="22" s="1"/>
  <c r="AH13" i="22"/>
  <c r="AR123" i="22" s="1"/>
  <c r="AE13" i="22"/>
  <c r="K13" i="22" s="1"/>
  <c r="I13" i="22"/>
  <c r="J13" i="22" s="1"/>
  <c r="F8" i="22"/>
  <c r="C8" i="22"/>
  <c r="AB45" i="22" s="1"/>
  <c r="Z22" i="4"/>
  <c r="AE2" i="4" s="1"/>
  <c r="AA22" i="4"/>
  <c r="H10" i="6" l="1"/>
  <c r="P14" i="5"/>
  <c r="O14" i="5"/>
  <c r="N5" i="50" s="1"/>
  <c r="D36" i="53" s="1"/>
  <c r="G14" i="6"/>
  <c r="AS126" i="22"/>
  <c r="H31" i="25"/>
  <c r="J31" i="25" s="1"/>
  <c r="K31" i="25" s="1"/>
  <c r="G30" i="24"/>
  <c r="H15" i="25"/>
  <c r="J15" i="25" s="1"/>
  <c r="K15" i="25" s="1"/>
  <c r="H39" i="25"/>
  <c r="J37" i="25"/>
  <c r="I39" i="25"/>
  <c r="AM119" i="22"/>
  <c r="AO118" i="22" s="1"/>
  <c r="AS124" i="22"/>
  <c r="AS125" i="22"/>
  <c r="AS127" i="22"/>
  <c r="AS128" i="22"/>
  <c r="AS123" i="22"/>
  <c r="H9" i="25" l="1"/>
  <c r="J9" i="25"/>
  <c r="K9" i="25" s="1"/>
  <c r="K37" i="25"/>
  <c r="K39" i="25" s="1"/>
  <c r="J39" i="25"/>
  <c r="AN118" i="22"/>
  <c r="B14" i="4"/>
  <c r="O49" i="5" l="1"/>
  <c r="AR9" i="24"/>
  <c r="K2" i="22"/>
  <c r="AC3" i="1"/>
  <c r="Z8" i="1"/>
  <c r="Z7" i="1"/>
  <c r="Z6" i="1"/>
  <c r="Z36" i="1"/>
  <c r="Z35" i="1"/>
  <c r="Z34" i="1"/>
  <c r="Z33" i="1"/>
  <c r="C21" i="1"/>
  <c r="C20" i="1"/>
  <c r="K9" i="24" l="1"/>
  <c r="I9" i="2"/>
  <c r="U9" i="2" s="1"/>
  <c r="C5" i="23"/>
  <c r="AJ9" i="24"/>
  <c r="AS9" i="24"/>
  <c r="AV9" i="24"/>
  <c r="AT9" i="24"/>
  <c r="AA9" i="24" s="1"/>
  <c r="O20" i="5"/>
  <c r="AJ20" i="5" s="1"/>
  <c r="Z9" i="4"/>
  <c r="AC2" i="4" s="1"/>
  <c r="AA9"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30" i="4"/>
  <c r="Z15" i="4"/>
  <c r="AD2" i="4" s="1"/>
  <c r="AA15" i="4"/>
  <c r="Z31" i="4"/>
  <c r="L31" i="4" s="1"/>
  <c r="Z32" i="4"/>
  <c r="Z33" i="4"/>
  <c r="L33" i="4" s="1"/>
  <c r="Z34" i="4"/>
  <c r="L34" i="4" s="1"/>
  <c r="Z35" i="4"/>
  <c r="L35" i="4" s="1"/>
  <c r="Z36" i="4"/>
  <c r="L36" i="4" s="1"/>
  <c r="Z37" i="4"/>
  <c r="L37" i="4" s="1"/>
  <c r="Z38" i="4"/>
  <c r="L38" i="4" s="1"/>
  <c r="Z39" i="4"/>
  <c r="L39" i="4" s="1"/>
  <c r="Z40" i="4"/>
  <c r="L40" i="4" s="1"/>
  <c r="Z41" i="4"/>
  <c r="L41" i="4" s="1"/>
  <c r="Z42" i="4"/>
  <c r="L42" i="4" s="1"/>
  <c r="Z43" i="4"/>
  <c r="L43" i="4" s="1"/>
  <c r="Z44" i="4"/>
  <c r="L44" i="4" s="1"/>
  <c r="Z45" i="4"/>
  <c r="L45" i="4" s="1"/>
  <c r="Z46" i="4"/>
  <c r="L46" i="4" s="1"/>
  <c r="Z47" i="4"/>
  <c r="L47" i="4" s="1"/>
  <c r="Z48" i="4"/>
  <c r="L48" i="4" s="1"/>
  <c r="Z49" i="4"/>
  <c r="L49" i="4" s="1"/>
  <c r="Z50" i="4"/>
  <c r="L50" i="4" s="1"/>
  <c r="Z51" i="4"/>
  <c r="L51" i="4" s="1"/>
  <c r="Z52" i="4"/>
  <c r="L52" i="4" s="1"/>
  <c r="Z53" i="4"/>
  <c r="L53" i="4" s="1"/>
  <c r="Z54" i="4"/>
  <c r="L54" i="4" s="1"/>
  <c r="Z55" i="4"/>
  <c r="L55" i="4" s="1"/>
  <c r="Z56" i="4"/>
  <c r="L56" i="4" s="1"/>
  <c r="Z57" i="4"/>
  <c r="L57" i="4" s="1"/>
  <c r="Z58" i="4"/>
  <c r="L58" i="4" s="1"/>
  <c r="Z59" i="4"/>
  <c r="L59" i="4" s="1"/>
  <c r="Z60" i="4"/>
  <c r="L60" i="4" s="1"/>
  <c r="Z61" i="4"/>
  <c r="L61" i="4" s="1"/>
  <c r="Z62" i="4"/>
  <c r="L62" i="4" s="1"/>
  <c r="Z63" i="4"/>
  <c r="L63" i="4" s="1"/>
  <c r="Z64" i="4"/>
  <c r="L64" i="4" s="1"/>
  <c r="Z65" i="4"/>
  <c r="L65" i="4" s="1"/>
  <c r="Z66" i="4"/>
  <c r="L66" i="4" s="1"/>
  <c r="Z67" i="4"/>
  <c r="L67" i="4" s="1"/>
  <c r="Z68" i="4"/>
  <c r="L68" i="4" s="1"/>
  <c r="Z69" i="4"/>
  <c r="L69" i="4" s="1"/>
  <c r="Z70" i="4"/>
  <c r="L70" i="4" s="1"/>
  <c r="Z71" i="4"/>
  <c r="L71" i="4" s="1"/>
  <c r="Z72" i="4"/>
  <c r="L72" i="4" s="1"/>
  <c r="Z73" i="4"/>
  <c r="L73" i="4" s="1"/>
  <c r="Z74" i="4"/>
  <c r="L74" i="4" s="1"/>
  <c r="Z30" i="4"/>
  <c r="AJ61" i="5"/>
  <c r="P60" i="5"/>
  <c r="AJ59" i="5"/>
  <c r="P58" i="5"/>
  <c r="AJ57" i="5"/>
  <c r="P56" i="5"/>
  <c r="AJ55" i="5"/>
  <c r="AJ49" i="5"/>
  <c r="P48" i="5"/>
  <c r="AJ46" i="5"/>
  <c r="AJ44" i="5"/>
  <c r="AE33" i="5"/>
  <c r="AE31" i="5"/>
  <c r="AE30" i="5"/>
  <c r="AJ29" i="5"/>
  <c r="AE29" i="5"/>
  <c r="P28" i="5"/>
  <c r="O28" i="5"/>
  <c r="P19" i="5"/>
  <c r="O19" i="5"/>
  <c r="AJ19" i="5" s="1"/>
  <c r="P18" i="5"/>
  <c r="O18" i="5"/>
  <c r="AJ18" i="5" s="1"/>
  <c r="P17" i="5"/>
  <c r="O17" i="5"/>
  <c r="AJ17" i="5" s="1"/>
  <c r="P16" i="5"/>
  <c r="O16" i="5"/>
  <c r="AJ16" i="5" s="1"/>
  <c r="AJ15" i="5"/>
  <c r="O13" i="5"/>
  <c r="O12" i="5"/>
  <c r="P11" i="5"/>
  <c r="O11" i="5"/>
  <c r="O9" i="5"/>
  <c r="P9" i="5" s="1"/>
  <c r="O8" i="5"/>
  <c r="AJ8" i="5" s="1"/>
  <c r="O7" i="5"/>
  <c r="AJ7" i="5" s="1"/>
  <c r="O6" i="5"/>
  <c r="P6" i="5" s="1"/>
  <c r="AE5" i="5"/>
  <c r="AE4" i="5"/>
  <c r="AE3" i="5"/>
  <c r="H31" i="4"/>
  <c r="I31" i="4" s="1"/>
  <c r="H32" i="4"/>
  <c r="I32" i="4" s="1"/>
  <c r="H33" i="4"/>
  <c r="I33" i="4" s="1"/>
  <c r="H34" i="4"/>
  <c r="I34" i="4" s="1"/>
  <c r="H35" i="4"/>
  <c r="I35" i="4" s="1"/>
  <c r="H36" i="4"/>
  <c r="I36" i="4" s="1"/>
  <c r="H37" i="4"/>
  <c r="I37" i="4" s="1"/>
  <c r="H38" i="4"/>
  <c r="I38" i="4" s="1"/>
  <c r="H39" i="4"/>
  <c r="I39" i="4" s="1"/>
  <c r="H40" i="4"/>
  <c r="I40" i="4" s="1"/>
  <c r="H41" i="4"/>
  <c r="I41" i="4" s="1"/>
  <c r="H42" i="4"/>
  <c r="I42" i="4" s="1"/>
  <c r="H43" i="4"/>
  <c r="I43" i="4" s="1"/>
  <c r="H44" i="4"/>
  <c r="I44" i="4" s="1"/>
  <c r="H45" i="4"/>
  <c r="I45" i="4" s="1"/>
  <c r="H46" i="4"/>
  <c r="I46" i="4" s="1"/>
  <c r="H47" i="4"/>
  <c r="I47" i="4" s="1"/>
  <c r="H48" i="4"/>
  <c r="I48" i="4" s="1"/>
  <c r="H49" i="4"/>
  <c r="I49" i="4" s="1"/>
  <c r="H50" i="4"/>
  <c r="I50" i="4" s="1"/>
  <c r="H51" i="4"/>
  <c r="I51" i="4" s="1"/>
  <c r="H52" i="4"/>
  <c r="I52" i="4" s="1"/>
  <c r="H53" i="4"/>
  <c r="I53" i="4" s="1"/>
  <c r="H54" i="4"/>
  <c r="I54" i="4" s="1"/>
  <c r="H55" i="4"/>
  <c r="I55" i="4" s="1"/>
  <c r="H56" i="4"/>
  <c r="I56" i="4" s="1"/>
  <c r="H57" i="4"/>
  <c r="I57" i="4" s="1"/>
  <c r="H58" i="4"/>
  <c r="I58" i="4" s="1"/>
  <c r="H59" i="4"/>
  <c r="I59" i="4" s="1"/>
  <c r="H60" i="4"/>
  <c r="I60" i="4" s="1"/>
  <c r="H61" i="4"/>
  <c r="I61" i="4" s="1"/>
  <c r="H62" i="4"/>
  <c r="I62" i="4" s="1"/>
  <c r="H63" i="4"/>
  <c r="I63" i="4" s="1"/>
  <c r="H64" i="4"/>
  <c r="I64" i="4" s="1"/>
  <c r="H65" i="4"/>
  <c r="I65" i="4" s="1"/>
  <c r="H66" i="4"/>
  <c r="I66" i="4" s="1"/>
  <c r="H67" i="4"/>
  <c r="I67" i="4" s="1"/>
  <c r="H68" i="4"/>
  <c r="I68" i="4" s="1"/>
  <c r="H69" i="4"/>
  <c r="I69" i="4" s="1"/>
  <c r="H70" i="4"/>
  <c r="I70" i="4" s="1"/>
  <c r="H71" i="4"/>
  <c r="I71" i="4" s="1"/>
  <c r="H72" i="4"/>
  <c r="I72" i="4" s="1"/>
  <c r="H73" i="4"/>
  <c r="I73" i="4" s="1"/>
  <c r="H74" i="4"/>
  <c r="I74" i="4" s="1"/>
  <c r="H30" i="4"/>
  <c r="I30" i="4" s="1"/>
  <c r="K30" i="4" s="1"/>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1" i="4"/>
  <c r="U17" i="2"/>
  <c r="U18" i="2"/>
  <c r="U19" i="2"/>
  <c r="U20" i="2"/>
  <c r="U21" i="2"/>
  <c r="U22" i="2"/>
  <c r="U16" i="2"/>
  <c r="U8" i="2"/>
  <c r="U10" i="2"/>
  <c r="U11" i="2"/>
  <c r="U12" i="2"/>
  <c r="U13" i="2"/>
  <c r="U14" i="2"/>
  <c r="O15" i="2"/>
  <c r="AA15" i="2"/>
  <c r="O23" i="2"/>
  <c r="AA23" i="2"/>
  <c r="I23" i="2"/>
  <c r="E9" i="24" l="1"/>
  <c r="J9" i="24"/>
  <c r="D9" i="24"/>
  <c r="H9" i="24" s="1"/>
  <c r="D11" i="25"/>
  <c r="F11" i="25" s="1"/>
  <c r="AJ13" i="5"/>
  <c r="P13" i="5"/>
  <c r="AJ12" i="5"/>
  <c r="P12" i="5"/>
  <c r="AJ11" i="5"/>
  <c r="C18" i="50"/>
  <c r="AJ28" i="5"/>
  <c r="B36" i="50"/>
  <c r="I9" i="24"/>
  <c r="K32" i="4"/>
  <c r="H3" i="4"/>
  <c r="Z26" i="4"/>
  <c r="AF2" i="4" s="1"/>
  <c r="Z3" i="4" s="1"/>
  <c r="P61" i="5"/>
  <c r="P49" i="5"/>
  <c r="AA24" i="2"/>
  <c r="P3" i="5"/>
  <c r="P57" i="5"/>
  <c r="P7" i="5"/>
  <c r="P55" i="5"/>
  <c r="P59" i="5"/>
  <c r="L32" i="4"/>
  <c r="L30" i="4"/>
  <c r="AA26" i="4"/>
  <c r="O3" i="5"/>
  <c r="AJ6" i="5"/>
  <c r="AJ9" i="5"/>
  <c r="AJ48" i="5"/>
  <c r="AJ53" i="5"/>
  <c r="AJ56" i="5"/>
  <c r="AJ58" i="5"/>
  <c r="AJ60" i="5"/>
  <c r="P8" i="5"/>
  <c r="O24" i="2"/>
  <c r="U23" i="2"/>
  <c r="AJ10" i="5" l="1"/>
  <c r="Z11" i="53"/>
  <c r="P46" i="5" s="1"/>
  <c r="F9" i="24"/>
  <c r="G9" i="24" s="1"/>
  <c r="H11" i="25" s="1"/>
  <c r="C25" i="23"/>
  <c r="D25" i="23" s="1"/>
  <c r="C27" i="23"/>
  <c r="D27" i="23" s="1"/>
  <c r="C28" i="23"/>
  <c r="D28" i="23" s="1"/>
  <c r="C29" i="23"/>
  <c r="D29" i="23" s="1"/>
  <c r="C30" i="23"/>
  <c r="D30" i="23" s="1"/>
  <c r="C31" i="23"/>
  <c r="D31" i="23" s="1"/>
  <c r="C32" i="23"/>
  <c r="D32" i="23" s="1"/>
  <c r="C33" i="23"/>
  <c r="D33" i="23" s="1"/>
  <c r="C35" i="23"/>
  <c r="D35" i="23" s="1"/>
  <c r="C36" i="23"/>
  <c r="D36" i="23" s="1"/>
  <c r="C37" i="23"/>
  <c r="D37" i="23" s="1"/>
  <c r="C42" i="23"/>
  <c r="D42" i="23" s="1"/>
  <c r="C26" i="23"/>
  <c r="D26" i="23" s="1"/>
  <c r="C34" i="23"/>
  <c r="D34" i="23" s="1"/>
  <c r="C38" i="23"/>
  <c r="D38" i="23" s="1"/>
  <c r="C41" i="23"/>
  <c r="D41" i="23" s="1"/>
  <c r="C24" i="23"/>
  <c r="D24" i="23" s="1"/>
  <c r="C40" i="23"/>
  <c r="D40" i="23" s="1"/>
  <c r="C44" i="23"/>
  <c r="D44" i="23" s="1"/>
  <c r="C46" i="23"/>
  <c r="D46" i="23" s="1"/>
  <c r="C48" i="23"/>
  <c r="D48" i="23" s="1"/>
  <c r="C50" i="23"/>
  <c r="D50" i="23" s="1"/>
  <c r="C53" i="23"/>
  <c r="D53" i="23" s="1"/>
  <c r="C54" i="23"/>
  <c r="D54" i="23" s="1"/>
  <c r="C57" i="23"/>
  <c r="D57" i="23" s="1"/>
  <c r="C59" i="23"/>
  <c r="D59" i="23" s="1"/>
  <c r="C61" i="23"/>
  <c r="D61" i="23" s="1"/>
  <c r="C63" i="23"/>
  <c r="D63" i="23" s="1"/>
  <c r="C64" i="23"/>
  <c r="D64" i="23" s="1"/>
  <c r="C66" i="23"/>
  <c r="D66" i="23" s="1"/>
  <c r="C67" i="23"/>
  <c r="D67" i="23" s="1"/>
  <c r="C39" i="23"/>
  <c r="D39" i="23" s="1"/>
  <c r="C43" i="23"/>
  <c r="D43" i="23" s="1"/>
  <c r="C45" i="23"/>
  <c r="D45" i="23" s="1"/>
  <c r="C51" i="23"/>
  <c r="D51" i="23" s="1"/>
  <c r="C52" i="23"/>
  <c r="D52" i="23" s="1"/>
  <c r="C65" i="23"/>
  <c r="D65" i="23" s="1"/>
  <c r="C49" i="23"/>
  <c r="D49" i="23" s="1"/>
  <c r="C55" i="23"/>
  <c r="D55" i="23" s="1"/>
  <c r="C69" i="23"/>
  <c r="D69" i="23" s="1"/>
  <c r="C70" i="23"/>
  <c r="D70" i="23" s="1"/>
  <c r="C71" i="23"/>
  <c r="D71" i="23" s="1"/>
  <c r="C72" i="23"/>
  <c r="D72" i="23" s="1"/>
  <c r="C77" i="23"/>
  <c r="D77" i="23" s="1"/>
  <c r="C78" i="23"/>
  <c r="D78" i="23" s="1"/>
  <c r="C79" i="23"/>
  <c r="D79" i="23" s="1"/>
  <c r="C80" i="23"/>
  <c r="D80" i="23" s="1"/>
  <c r="C81" i="23"/>
  <c r="D81" i="23" s="1"/>
  <c r="C82" i="23"/>
  <c r="D82" i="23" s="1"/>
  <c r="C85" i="23"/>
  <c r="D85" i="23" s="1"/>
  <c r="C86" i="23"/>
  <c r="D86" i="23" s="1"/>
  <c r="C88" i="23"/>
  <c r="D88" i="23" s="1"/>
  <c r="C91" i="23"/>
  <c r="D91" i="23" s="1"/>
  <c r="C93" i="23"/>
  <c r="D93" i="23" s="1"/>
  <c r="C95" i="23"/>
  <c r="D95" i="23" s="1"/>
  <c r="C96" i="23"/>
  <c r="D96" i="23" s="1"/>
  <c r="C98" i="23"/>
  <c r="D98" i="23" s="1"/>
  <c r="C100" i="23"/>
  <c r="D100" i="23" s="1"/>
  <c r="C102" i="23"/>
  <c r="D102" i="23" s="1"/>
  <c r="C104" i="23"/>
  <c r="D104" i="23" s="1"/>
  <c r="C106" i="23"/>
  <c r="D106" i="23" s="1"/>
  <c r="C108" i="23"/>
  <c r="D108" i="23" s="1"/>
  <c r="C110" i="23"/>
  <c r="D110" i="23" s="1"/>
  <c r="C111" i="23"/>
  <c r="D111" i="23" s="1"/>
  <c r="C113" i="23"/>
  <c r="D113" i="23" s="1"/>
  <c r="C114" i="23"/>
  <c r="D114" i="23" s="1"/>
  <c r="C116" i="23"/>
  <c r="D116" i="23" s="1"/>
  <c r="C117" i="23"/>
  <c r="D117" i="23" s="1"/>
  <c r="C118" i="23"/>
  <c r="D118" i="23" s="1"/>
  <c r="C121" i="23"/>
  <c r="D121" i="23" s="1"/>
  <c r="C122" i="23"/>
  <c r="D122" i="23" s="1"/>
  <c r="C47" i="23"/>
  <c r="D47" i="23" s="1"/>
  <c r="C56" i="23"/>
  <c r="D56" i="23" s="1"/>
  <c r="C58" i="23"/>
  <c r="D58" i="23" s="1"/>
  <c r="C60" i="23"/>
  <c r="D60" i="23" s="1"/>
  <c r="C62" i="23"/>
  <c r="D62" i="23" s="1"/>
  <c r="C68" i="23"/>
  <c r="D68" i="23" s="1"/>
  <c r="C73" i="23"/>
  <c r="D73" i="23" s="1"/>
  <c r="C74" i="23"/>
  <c r="D74" i="23" s="1"/>
  <c r="C75" i="23"/>
  <c r="D75" i="23" s="1"/>
  <c r="C76" i="23"/>
  <c r="D76" i="23" s="1"/>
  <c r="C83" i="23"/>
  <c r="D83" i="23" s="1"/>
  <c r="C84" i="23"/>
  <c r="D84" i="23" s="1"/>
  <c r="C87" i="23"/>
  <c r="D87" i="23" s="1"/>
  <c r="C89" i="23"/>
  <c r="D89" i="23" s="1"/>
  <c r="C90" i="23"/>
  <c r="D90" i="23" s="1"/>
  <c r="C92" i="23"/>
  <c r="D92" i="23" s="1"/>
  <c r="C94" i="23"/>
  <c r="D94" i="23" s="1"/>
  <c r="C97" i="23"/>
  <c r="D97" i="23" s="1"/>
  <c r="C99" i="23"/>
  <c r="D99" i="23" s="1"/>
  <c r="C105" i="23"/>
  <c r="D105" i="23" s="1"/>
  <c r="C107" i="23"/>
  <c r="D107" i="23" s="1"/>
  <c r="C115" i="23"/>
  <c r="D115" i="23" s="1"/>
  <c r="C120" i="23"/>
  <c r="D120" i="23" s="1"/>
  <c r="C123" i="23"/>
  <c r="D123" i="23" s="1"/>
  <c r="C127" i="23"/>
  <c r="D127" i="23" s="1"/>
  <c r="C129" i="23"/>
  <c r="D129" i="23" s="1"/>
  <c r="C130" i="23"/>
  <c r="D130" i="23" s="1"/>
  <c r="C132" i="23"/>
  <c r="D132" i="23" s="1"/>
  <c r="C133" i="23"/>
  <c r="D133" i="23" s="1"/>
  <c r="C134" i="23"/>
  <c r="D134" i="23" s="1"/>
  <c r="C137" i="23"/>
  <c r="D137" i="23" s="1"/>
  <c r="C138" i="23"/>
  <c r="D138" i="23" s="1"/>
  <c r="C140" i="23"/>
  <c r="D140" i="23" s="1"/>
  <c r="C141" i="23"/>
  <c r="D141" i="23" s="1"/>
  <c r="C142" i="23"/>
  <c r="D142" i="23" s="1"/>
  <c r="C153" i="23"/>
  <c r="D153" i="23" s="1"/>
  <c r="C154" i="23"/>
  <c r="D154" i="23" s="1"/>
  <c r="C157" i="23"/>
  <c r="D157" i="23" s="1"/>
  <c r="C158" i="23"/>
  <c r="D158" i="23" s="1"/>
  <c r="C161" i="23"/>
  <c r="D161" i="23" s="1"/>
  <c r="C162" i="23"/>
  <c r="D162" i="23" s="1"/>
  <c r="C165" i="23"/>
  <c r="D165" i="23" s="1"/>
  <c r="C166" i="23"/>
  <c r="D166" i="23" s="1"/>
  <c r="C169" i="23"/>
  <c r="D169" i="23" s="1"/>
  <c r="C170" i="23"/>
  <c r="D170" i="23" s="1"/>
  <c r="C173" i="23"/>
  <c r="D173" i="23" s="1"/>
  <c r="C174" i="23"/>
  <c r="D174" i="23" s="1"/>
  <c r="C109" i="23"/>
  <c r="D109" i="23" s="1"/>
  <c r="C119" i="23"/>
  <c r="D119" i="23" s="1"/>
  <c r="C131" i="23"/>
  <c r="D131" i="23" s="1"/>
  <c r="C136" i="23"/>
  <c r="D136" i="23" s="1"/>
  <c r="C139" i="23"/>
  <c r="D139" i="23" s="1"/>
  <c r="C149" i="23"/>
  <c r="D149" i="23" s="1"/>
  <c r="C150" i="23"/>
  <c r="D150" i="23" s="1"/>
  <c r="C155" i="23"/>
  <c r="D155" i="23" s="1"/>
  <c r="C156" i="23"/>
  <c r="D156" i="23" s="1"/>
  <c r="C163" i="23"/>
  <c r="D163" i="23" s="1"/>
  <c r="C164" i="23"/>
  <c r="D164" i="23" s="1"/>
  <c r="C171" i="23"/>
  <c r="D171" i="23" s="1"/>
  <c r="C172" i="23"/>
  <c r="D172" i="23" s="1"/>
  <c r="C179" i="23"/>
  <c r="D179" i="23" s="1"/>
  <c r="C180" i="23"/>
  <c r="D180" i="23" s="1"/>
  <c r="C181" i="23"/>
  <c r="D181" i="23" s="1"/>
  <c r="C182" i="23"/>
  <c r="D182" i="23" s="1"/>
  <c r="C186" i="23"/>
  <c r="D186" i="23" s="1"/>
  <c r="C190" i="23"/>
  <c r="D190" i="23" s="1"/>
  <c r="C192" i="23"/>
  <c r="D192" i="23" s="1"/>
  <c r="C193" i="23"/>
  <c r="D193" i="23" s="1"/>
  <c r="C195" i="23"/>
  <c r="D195" i="23" s="1"/>
  <c r="C196" i="23"/>
  <c r="D196" i="23" s="1"/>
  <c r="C197" i="23"/>
  <c r="D197" i="23" s="1"/>
  <c r="C199" i="23"/>
  <c r="D199" i="23" s="1"/>
  <c r="C202" i="23"/>
  <c r="D202" i="23" s="1"/>
  <c r="C204" i="23"/>
  <c r="D204" i="23" s="1"/>
  <c r="C205" i="23"/>
  <c r="D205" i="23" s="1"/>
  <c r="C208" i="23"/>
  <c r="D208" i="23" s="1"/>
  <c r="C209" i="23"/>
  <c r="D209" i="23" s="1"/>
  <c r="C213" i="23"/>
  <c r="D213" i="23" s="1"/>
  <c r="C103" i="23"/>
  <c r="D103" i="23" s="1"/>
  <c r="C125" i="23"/>
  <c r="D125" i="23" s="1"/>
  <c r="C135" i="23"/>
  <c r="D135" i="23" s="1"/>
  <c r="C144" i="23"/>
  <c r="D144" i="23" s="1"/>
  <c r="C146" i="23"/>
  <c r="D146" i="23" s="1"/>
  <c r="C148" i="23"/>
  <c r="D148" i="23" s="1"/>
  <c r="C152" i="23"/>
  <c r="D152" i="23" s="1"/>
  <c r="C159" i="23"/>
  <c r="D159" i="23" s="1"/>
  <c r="C168" i="23"/>
  <c r="D168" i="23" s="1"/>
  <c r="C175" i="23"/>
  <c r="D175" i="23" s="1"/>
  <c r="C187" i="23"/>
  <c r="D187" i="23" s="1"/>
  <c r="C188" i="23"/>
  <c r="D188" i="23" s="1"/>
  <c r="C189" i="23"/>
  <c r="D189" i="23" s="1"/>
  <c r="C194" i="23"/>
  <c r="D194" i="23" s="1"/>
  <c r="C198" i="23"/>
  <c r="D198" i="23" s="1"/>
  <c r="C203" i="23"/>
  <c r="D203" i="23" s="1"/>
  <c r="C206" i="23"/>
  <c r="D206" i="23" s="1"/>
  <c r="C207" i="23"/>
  <c r="D207" i="23" s="1"/>
  <c r="C210" i="23"/>
  <c r="D210" i="23" s="1"/>
  <c r="C211" i="23"/>
  <c r="D211" i="23" s="1"/>
  <c r="C214" i="23"/>
  <c r="D214" i="23" s="1"/>
  <c r="C217" i="23"/>
  <c r="D217" i="23" s="1"/>
  <c r="C219" i="23"/>
  <c r="D219" i="23" s="1"/>
  <c r="C220" i="23"/>
  <c r="D220" i="23" s="1"/>
  <c r="C222" i="23"/>
  <c r="D222" i="23" s="1"/>
  <c r="C224" i="23"/>
  <c r="D224" i="23" s="1"/>
  <c r="C226" i="23"/>
  <c r="D226" i="23" s="1"/>
  <c r="C227" i="23"/>
  <c r="D227" i="23" s="1"/>
  <c r="C228" i="23"/>
  <c r="D228" i="23" s="1"/>
  <c r="C231" i="23"/>
  <c r="D231" i="23" s="1"/>
  <c r="C235" i="23"/>
  <c r="D235" i="23" s="1"/>
  <c r="C240" i="23"/>
  <c r="D240" i="23" s="1"/>
  <c r="C243" i="23"/>
  <c r="D243" i="23" s="1"/>
  <c r="C245" i="23"/>
  <c r="D245" i="23" s="1"/>
  <c r="C246" i="23"/>
  <c r="D246" i="23" s="1"/>
  <c r="C247" i="23"/>
  <c r="D247" i="23" s="1"/>
  <c r="C249" i="23"/>
  <c r="D249" i="23" s="1"/>
  <c r="C250" i="23"/>
  <c r="D250" i="23" s="1"/>
  <c r="C252" i="23"/>
  <c r="D252" i="23" s="1"/>
  <c r="C255" i="23"/>
  <c r="D255" i="23" s="1"/>
  <c r="C259" i="23"/>
  <c r="D259" i="23" s="1"/>
  <c r="C261" i="23"/>
  <c r="D261" i="23" s="1"/>
  <c r="C263" i="23"/>
  <c r="D263" i="23" s="1"/>
  <c r="C264" i="23"/>
  <c r="D264" i="23" s="1"/>
  <c r="C267" i="23"/>
  <c r="D267" i="23" s="1"/>
  <c r="C269" i="23"/>
  <c r="D269" i="23" s="1"/>
  <c r="C271" i="23"/>
  <c r="D271" i="23" s="1"/>
  <c r="C274" i="23"/>
  <c r="D274" i="23" s="1"/>
  <c r="C279" i="23"/>
  <c r="D279" i="23" s="1"/>
  <c r="C280" i="23"/>
  <c r="D280" i="23" s="1"/>
  <c r="C281" i="23"/>
  <c r="D281" i="23" s="1"/>
  <c r="C283" i="23"/>
  <c r="D283" i="23" s="1"/>
  <c r="C286" i="23"/>
  <c r="D286" i="23" s="1"/>
  <c r="C290" i="23"/>
  <c r="D290" i="23" s="1"/>
  <c r="C292" i="23"/>
  <c r="D292" i="23" s="1"/>
  <c r="C293" i="23"/>
  <c r="D293" i="23" s="1"/>
  <c r="C295" i="23"/>
  <c r="D295" i="23" s="1"/>
  <c r="C296" i="23"/>
  <c r="D296" i="23" s="1"/>
  <c r="C297" i="23"/>
  <c r="D297" i="23" s="1"/>
  <c r="C299" i="23"/>
  <c r="D299" i="23" s="1"/>
  <c r="C300" i="23"/>
  <c r="D300" i="23" s="1"/>
  <c r="C301" i="23"/>
  <c r="D301" i="23" s="1"/>
  <c r="C303" i="23"/>
  <c r="D303" i="23" s="1"/>
  <c r="C307" i="23"/>
  <c r="D307" i="23" s="1"/>
  <c r="C311" i="23"/>
  <c r="D311" i="23" s="1"/>
  <c r="C315" i="23"/>
  <c r="D315" i="23" s="1"/>
  <c r="C316" i="23"/>
  <c r="D316" i="23" s="1"/>
  <c r="C317" i="23"/>
  <c r="D317" i="23" s="1"/>
  <c r="C101" i="23"/>
  <c r="D101" i="23" s="1"/>
  <c r="C112" i="23"/>
  <c r="D112" i="23" s="1"/>
  <c r="C124" i="23"/>
  <c r="D124" i="23" s="1"/>
  <c r="C126" i="23"/>
  <c r="D126" i="23" s="1"/>
  <c r="C128" i="23"/>
  <c r="D128" i="23" s="1"/>
  <c r="C143" i="23"/>
  <c r="D143" i="23" s="1"/>
  <c r="C145" i="23"/>
  <c r="D145" i="23" s="1"/>
  <c r="C147" i="23"/>
  <c r="D147" i="23" s="1"/>
  <c r="C151" i="23"/>
  <c r="D151" i="23" s="1"/>
  <c r="C160" i="23"/>
  <c r="D160" i="23" s="1"/>
  <c r="C167" i="23"/>
  <c r="D167" i="23" s="1"/>
  <c r="C176" i="23"/>
  <c r="D176" i="23" s="1"/>
  <c r="C177" i="23"/>
  <c r="D177" i="23" s="1"/>
  <c r="C178" i="23"/>
  <c r="D178" i="23" s="1"/>
  <c r="C183" i="23"/>
  <c r="D183" i="23" s="1"/>
  <c r="C184" i="23"/>
  <c r="D184" i="23" s="1"/>
  <c r="C185" i="23"/>
  <c r="D185" i="23" s="1"/>
  <c r="C191" i="23"/>
  <c r="D191" i="23" s="1"/>
  <c r="C200" i="23"/>
  <c r="D200" i="23" s="1"/>
  <c r="C201" i="23"/>
  <c r="D201" i="23" s="1"/>
  <c r="C212" i="23"/>
  <c r="D212" i="23" s="1"/>
  <c r="C215" i="23"/>
  <c r="D215" i="23" s="1"/>
  <c r="C216" i="23"/>
  <c r="D216" i="23" s="1"/>
  <c r="C218" i="23"/>
  <c r="D218" i="23" s="1"/>
  <c r="C221" i="23"/>
  <c r="D221" i="23" s="1"/>
  <c r="C223" i="23"/>
  <c r="D223" i="23" s="1"/>
  <c r="C225" i="23"/>
  <c r="D225" i="23" s="1"/>
  <c r="C229" i="23"/>
  <c r="D229" i="23" s="1"/>
  <c r="C230" i="23"/>
  <c r="D230" i="23" s="1"/>
  <c r="C232" i="23"/>
  <c r="D232" i="23" s="1"/>
  <c r="C233" i="23"/>
  <c r="D233" i="23" s="1"/>
  <c r="C234" i="23"/>
  <c r="D234" i="23" s="1"/>
  <c r="C236" i="23"/>
  <c r="D236" i="23" s="1"/>
  <c r="C237" i="23"/>
  <c r="D237" i="23" s="1"/>
  <c r="C238" i="23"/>
  <c r="D238" i="23" s="1"/>
  <c r="C239" i="23"/>
  <c r="D239" i="23" s="1"/>
  <c r="C241" i="23"/>
  <c r="D241" i="23" s="1"/>
  <c r="C242" i="23"/>
  <c r="D242" i="23" s="1"/>
  <c r="C244" i="23"/>
  <c r="D244" i="23" s="1"/>
  <c r="C248" i="23"/>
  <c r="D248" i="23" s="1"/>
  <c r="C251" i="23"/>
  <c r="D251" i="23" s="1"/>
  <c r="C253" i="23"/>
  <c r="D253" i="23" s="1"/>
  <c r="C254" i="23"/>
  <c r="D254" i="23" s="1"/>
  <c r="C256" i="23"/>
  <c r="D256" i="23" s="1"/>
  <c r="C257" i="23"/>
  <c r="D257" i="23" s="1"/>
  <c r="C258" i="23"/>
  <c r="D258" i="23" s="1"/>
  <c r="C260" i="23"/>
  <c r="D260" i="23" s="1"/>
  <c r="C262" i="23"/>
  <c r="D262" i="23" s="1"/>
  <c r="C265" i="23"/>
  <c r="D265" i="23" s="1"/>
  <c r="C266" i="23"/>
  <c r="D266" i="23" s="1"/>
  <c r="C268" i="23"/>
  <c r="D268" i="23" s="1"/>
  <c r="C270" i="23"/>
  <c r="D270" i="23" s="1"/>
  <c r="C272" i="23"/>
  <c r="D272" i="23" s="1"/>
  <c r="C273" i="23"/>
  <c r="D273" i="23" s="1"/>
  <c r="C275" i="23"/>
  <c r="D275" i="23" s="1"/>
  <c r="C276" i="23"/>
  <c r="D276" i="23" s="1"/>
  <c r="C277" i="23"/>
  <c r="D277" i="23" s="1"/>
  <c r="C278" i="23"/>
  <c r="D278" i="23" s="1"/>
  <c r="C282" i="23"/>
  <c r="D282" i="23" s="1"/>
  <c r="C284" i="23"/>
  <c r="D284" i="23" s="1"/>
  <c r="C285" i="23"/>
  <c r="D285" i="23" s="1"/>
  <c r="C287" i="23"/>
  <c r="D287" i="23" s="1"/>
  <c r="C288" i="23"/>
  <c r="D288" i="23" s="1"/>
  <c r="C289" i="23"/>
  <c r="D289" i="23" s="1"/>
  <c r="C291" i="23"/>
  <c r="D291" i="23" s="1"/>
  <c r="C294" i="23"/>
  <c r="D294" i="23" s="1"/>
  <c r="C298" i="23"/>
  <c r="D298" i="23" s="1"/>
  <c r="C302" i="23"/>
  <c r="D302" i="23" s="1"/>
  <c r="C304" i="23"/>
  <c r="D304" i="23" s="1"/>
  <c r="C305" i="23"/>
  <c r="D305" i="23" s="1"/>
  <c r="C306" i="23"/>
  <c r="D306" i="23" s="1"/>
  <c r="C308" i="23"/>
  <c r="D308" i="23" s="1"/>
  <c r="C309" i="23"/>
  <c r="D309" i="23" s="1"/>
  <c r="C310" i="23"/>
  <c r="D310" i="23" s="1"/>
  <c r="C312" i="23"/>
  <c r="D312" i="23" s="1"/>
  <c r="C313" i="23"/>
  <c r="D313" i="23" s="1"/>
  <c r="C314" i="23"/>
  <c r="D314" i="23" s="1"/>
  <c r="C318" i="23"/>
  <c r="D318" i="23" s="1"/>
  <c r="C320" i="23"/>
  <c r="D320" i="23" s="1"/>
  <c r="C321" i="23"/>
  <c r="D321" i="23" s="1"/>
  <c r="C322" i="23"/>
  <c r="D322" i="23" s="1"/>
  <c r="C23" i="23"/>
  <c r="D23" i="23" s="1"/>
  <c r="C319" i="23"/>
  <c r="D319" i="23" s="1"/>
  <c r="G11" i="25"/>
  <c r="P10" i="5"/>
  <c r="L9" i="50"/>
  <c r="AA3" i="4"/>
  <c r="O47" i="5"/>
  <c r="AR29" i="24"/>
  <c r="AR27" i="24"/>
  <c r="AT27" i="24" s="1"/>
  <c r="AR25" i="24"/>
  <c r="AR23" i="24"/>
  <c r="AR26" i="24"/>
  <c r="AR7" i="24"/>
  <c r="AR28" i="24"/>
  <c r="AR24" i="24"/>
  <c r="J3" i="4"/>
  <c r="C3" i="23" s="1"/>
  <c r="O10" i="5"/>
  <c r="C17" i="50" s="1"/>
  <c r="F10" i="51" s="1"/>
  <c r="AJ3" i="5"/>
  <c r="I11" i="25" l="1"/>
  <c r="J11" i="25" s="1"/>
  <c r="K11" i="25" s="1"/>
  <c r="D20" i="23"/>
  <c r="K7" i="24"/>
  <c r="I7" i="2"/>
  <c r="AT24" i="24"/>
  <c r="AA24" i="24" s="1"/>
  <c r="AV24" i="24"/>
  <c r="AS24" i="24"/>
  <c r="AT7" i="24"/>
  <c r="AS7" i="24"/>
  <c r="AT23" i="24"/>
  <c r="AA23" i="24" s="1"/>
  <c r="AV23" i="24"/>
  <c r="AS23" i="24"/>
  <c r="D38" i="53"/>
  <c r="F8" i="51"/>
  <c r="S7" i="52"/>
  <c r="AT28" i="24"/>
  <c r="AA28" i="24" s="1"/>
  <c r="AV28" i="24"/>
  <c r="AS28" i="24"/>
  <c r="AT26" i="24"/>
  <c r="AA26" i="24" s="1"/>
  <c r="AV26" i="24"/>
  <c r="AS26" i="24"/>
  <c r="AT25" i="24"/>
  <c r="AA25" i="24" s="1"/>
  <c r="AJ25" i="24"/>
  <c r="AV25" i="24"/>
  <c r="AS25" i="24"/>
  <c r="AT29" i="24"/>
  <c r="AA29" i="24" s="1"/>
  <c r="AJ29" i="24"/>
  <c r="AS29" i="24"/>
  <c r="AV29" i="24"/>
  <c r="AJ47" i="5"/>
  <c r="P47" i="5"/>
  <c r="D7" i="24" l="1"/>
  <c r="H7" i="24" s="1"/>
  <c r="D7" i="25"/>
  <c r="K22" i="24"/>
  <c r="H3" i="23"/>
  <c r="I7" i="25"/>
  <c r="E7" i="24"/>
  <c r="I7" i="24" s="1"/>
  <c r="J7" i="24" s="1"/>
  <c r="U7" i="2"/>
  <c r="U15" i="2" s="1"/>
  <c r="U24" i="2" s="1"/>
  <c r="C24" i="1" s="1"/>
  <c r="I15" i="2"/>
  <c r="I24" i="2" s="1"/>
  <c r="AJ14" i="5"/>
  <c r="AJ33" i="5" s="1"/>
  <c r="F33" i="5"/>
  <c r="G7" i="24" l="1"/>
  <c r="G33" i="5"/>
  <c r="P40" i="5" s="1"/>
  <c r="O40" i="5"/>
  <c r="O43" i="5" l="1"/>
  <c r="H7" i="25"/>
  <c r="G22" i="24"/>
  <c r="G31" i="24" s="1"/>
  <c r="AJ40" i="5"/>
  <c r="AJ43" i="5" l="1"/>
  <c r="P43" i="5"/>
  <c r="AV27" i="24" l="1"/>
  <c r="AS27" i="24"/>
  <c r="D23" i="25" l="1"/>
  <c r="D41" i="25" s="1"/>
  <c r="F7" i="25"/>
  <c r="AA27" i="24"/>
  <c r="U25" i="24"/>
  <c r="G7" i="25" l="1"/>
  <c r="J7" i="25" s="1"/>
  <c r="K7" i="25" s="1"/>
  <c r="F23" i="25"/>
  <c r="F41" i="25" s="1"/>
  <c r="AV7" i="24"/>
  <c r="H23" i="25"/>
  <c r="H41" i="25" s="1"/>
  <c r="AA7" i="24" l="1"/>
  <c r="G23" i="25"/>
  <c r="G41" i="25" s="1"/>
  <c r="I23" i="25" l="1"/>
  <c r="I41" i="25" s="1"/>
  <c r="K23" i="25" l="1"/>
  <c r="K41" i="25" s="1"/>
  <c r="G20" i="50" s="1"/>
  <c r="J23" i="25"/>
  <c r="J41" i="25" s="1"/>
  <c r="AV15" i="24"/>
  <c r="AV2" i="24" s="1"/>
  <c r="G22" i="50" l="1"/>
  <c r="A20" i="52"/>
  <c r="A19" i="51"/>
  <c r="AJ15" i="24"/>
  <c r="K31" i="24"/>
  <c r="AA15" i="24" l="1"/>
  <c r="U9" i="24"/>
  <c r="AS2" i="24"/>
  <c r="O45" i="5" s="1"/>
  <c r="AS30" i="24"/>
  <c r="P45" i="5" l="1"/>
  <c r="AJ45" i="5"/>
  <c r="F37" i="5"/>
  <c r="G37" i="5" s="1"/>
  <c r="AT2" i="24"/>
  <c r="T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00000000-0006-0000-0B00-000001000000}">
      <text>
        <r>
          <rPr>
            <b/>
            <sz val="9"/>
            <color indexed="81"/>
            <rFont val="MS P ゴシック"/>
            <family val="3"/>
            <charset val="128"/>
          </rPr>
          <t>様式1-1の（E）欄と一致</t>
        </r>
      </text>
    </comment>
    <comment ref="K5" authorId="0" shapeId="0" xr:uid="{00000000-0006-0000-0B00-000002000000}">
      <text>
        <r>
          <rPr>
            <b/>
            <sz val="9"/>
            <color indexed="81"/>
            <rFont val="MS P ゴシック"/>
            <family val="3"/>
            <charset val="128"/>
          </rPr>
          <t>様式1-1の（A）欄と一致</t>
        </r>
      </text>
    </comment>
  </commentList>
</comments>
</file>

<file path=xl/sharedStrings.xml><?xml version="1.0" encoding="utf-8"?>
<sst xmlns="http://schemas.openxmlformats.org/spreadsheetml/2006/main" count="2987" uniqueCount="1156">
  <si>
    <t>事前協議書</t>
    <rPh sb="0" eb="2">
      <t>ジゼン</t>
    </rPh>
    <rPh sb="2" eb="4">
      <t>キョウギ</t>
    </rPh>
    <rPh sb="4" eb="5">
      <t>ショ</t>
    </rPh>
    <phoneticPr fontId="5"/>
  </si>
  <si>
    <t>（令和４年度新型コロナウイルス感染症患者等入院医療機関設備整備費補助金（令和４年１０月～令和５年３月整備分）関係）</t>
    <rPh sb="36" eb="38">
      <t>レイワ</t>
    </rPh>
    <rPh sb="39" eb="40">
      <t>ネン</t>
    </rPh>
    <rPh sb="42" eb="43">
      <t>ガツ</t>
    </rPh>
    <rPh sb="44" eb="46">
      <t>レイワ</t>
    </rPh>
    <rPh sb="47" eb="48">
      <t>ネン</t>
    </rPh>
    <rPh sb="49" eb="50">
      <t>ガツ</t>
    </rPh>
    <rPh sb="50" eb="52">
      <t>セイビ</t>
    </rPh>
    <rPh sb="52" eb="53">
      <t>ブン</t>
    </rPh>
    <rPh sb="54" eb="56">
      <t>カンケイ</t>
    </rPh>
    <phoneticPr fontId="5"/>
  </si>
  <si>
    <t>愛知県知事　殿</t>
    <rPh sb="0" eb="3">
      <t>アイチケン</t>
    </rPh>
    <rPh sb="3" eb="5">
      <t>チジ</t>
    </rPh>
    <rPh sb="6" eb="7">
      <t>ドノ</t>
    </rPh>
    <phoneticPr fontId="5"/>
  </si>
  <si>
    <t>補助事業者名</t>
    <rPh sb="0" eb="2">
      <t>ホジョ</t>
    </rPh>
    <rPh sb="2" eb="4">
      <t>ジギョウ</t>
    </rPh>
    <rPh sb="4" eb="5">
      <t>シャ</t>
    </rPh>
    <rPh sb="5" eb="6">
      <t>メイ</t>
    </rPh>
    <phoneticPr fontId="4"/>
  </si>
  <si>
    <t>代表者職氏名</t>
    <rPh sb="0" eb="3">
      <t>ダイヒョウシャ</t>
    </rPh>
    <rPh sb="3" eb="4">
      <t>ショク</t>
    </rPh>
    <rPh sb="4" eb="6">
      <t>シメイ</t>
    </rPh>
    <phoneticPr fontId="4"/>
  </si>
  <si>
    <t>所在地</t>
    <rPh sb="0" eb="1">
      <t>トコロ</t>
    </rPh>
    <rPh sb="1" eb="2">
      <t>ザイ</t>
    </rPh>
    <rPh sb="2" eb="3">
      <t>チ</t>
    </rPh>
    <phoneticPr fontId="4"/>
  </si>
  <si>
    <t>　このことについて、下記により協議します。</t>
    <rPh sb="10" eb="12">
      <t>カキ</t>
    </rPh>
    <rPh sb="15" eb="17">
      <t>キョウギ</t>
    </rPh>
    <phoneticPr fontId="5"/>
  </si>
  <si>
    <t>１　施設の名称及び所在地</t>
    <phoneticPr fontId="9"/>
  </si>
  <si>
    <t>２　経費所要見込額（県の定める要綱に基づく交付見込額と異なる。）</t>
    <rPh sb="2" eb="4">
      <t>ケイヒ</t>
    </rPh>
    <rPh sb="4" eb="6">
      <t>ショヨウ</t>
    </rPh>
    <rPh sb="6" eb="8">
      <t>ミコ</t>
    </rPh>
    <rPh sb="8" eb="9">
      <t>ガク</t>
    </rPh>
    <rPh sb="10" eb="11">
      <t>ケン</t>
    </rPh>
    <rPh sb="12" eb="13">
      <t>サダ</t>
    </rPh>
    <rPh sb="15" eb="17">
      <t>ヨウコウ</t>
    </rPh>
    <rPh sb="18" eb="19">
      <t>モト</t>
    </rPh>
    <rPh sb="21" eb="23">
      <t>コウフ</t>
    </rPh>
    <rPh sb="23" eb="25">
      <t>ミコミ</t>
    </rPh>
    <rPh sb="25" eb="26">
      <t>ガク</t>
    </rPh>
    <rPh sb="27" eb="28">
      <t>コト</t>
    </rPh>
    <phoneticPr fontId="5"/>
  </si>
  <si>
    <t>３　添付書類</t>
    <rPh sb="2" eb="4">
      <t>テンプ</t>
    </rPh>
    <rPh sb="4" eb="6">
      <t>ショルイ</t>
    </rPh>
    <phoneticPr fontId="5"/>
  </si>
  <si>
    <t>（１）経費所要額内訳書（別紙１）</t>
    <rPh sb="3" eb="5">
      <t>ケイヒ</t>
    </rPh>
    <rPh sb="5" eb="7">
      <t>ショヨウ</t>
    </rPh>
    <rPh sb="7" eb="8">
      <t>ガク</t>
    </rPh>
    <rPh sb="8" eb="11">
      <t>ウチワケショ</t>
    </rPh>
    <rPh sb="12" eb="14">
      <t>ベッシ</t>
    </rPh>
    <phoneticPr fontId="5"/>
  </si>
  <si>
    <t>担当部署</t>
    <rPh sb="0" eb="2">
      <t>タントウ</t>
    </rPh>
    <rPh sb="2" eb="4">
      <t>ブショ</t>
    </rPh>
    <phoneticPr fontId="4"/>
  </si>
  <si>
    <t>担当者名</t>
    <rPh sb="0" eb="2">
      <t>タントウ</t>
    </rPh>
    <rPh sb="2" eb="3">
      <t>シャ</t>
    </rPh>
    <rPh sb="3" eb="4">
      <t>メイ</t>
    </rPh>
    <phoneticPr fontId="4"/>
  </si>
  <si>
    <t>電話番号</t>
    <rPh sb="0" eb="2">
      <t>デンワ</t>
    </rPh>
    <rPh sb="2" eb="4">
      <t>バンゴウ</t>
    </rPh>
    <phoneticPr fontId="4"/>
  </si>
  <si>
    <t>Mailｱﾄﾞﾚｽ</t>
  </si>
  <si>
    <t>別紙１</t>
    <rPh sb="0" eb="2">
      <t>ベッシ</t>
    </rPh>
    <phoneticPr fontId="5"/>
  </si>
  <si>
    <t>経費所要額内訳書</t>
    <rPh sb="0" eb="2">
      <t>ケイヒ</t>
    </rPh>
    <rPh sb="2" eb="4">
      <t>ショヨウ</t>
    </rPh>
    <rPh sb="4" eb="5">
      <t>ガク</t>
    </rPh>
    <rPh sb="5" eb="8">
      <t>ウチワケショ</t>
    </rPh>
    <phoneticPr fontId="5"/>
  </si>
  <si>
    <t>初度設備</t>
    <rPh sb="0" eb="2">
      <t>ショド</t>
    </rPh>
    <rPh sb="2" eb="4">
      <t>セツビ</t>
    </rPh>
    <phoneticPr fontId="4"/>
  </si>
  <si>
    <t>人工呼吸器</t>
    <rPh sb="0" eb="2">
      <t>ジンコウ</t>
    </rPh>
    <rPh sb="2" eb="5">
      <t>コキュウキ</t>
    </rPh>
    <phoneticPr fontId="4"/>
  </si>
  <si>
    <t>個人防護具</t>
    <rPh sb="0" eb="2">
      <t>コジン</t>
    </rPh>
    <rPh sb="2" eb="4">
      <t>ボウゴ</t>
    </rPh>
    <rPh sb="4" eb="5">
      <t>グ</t>
    </rPh>
    <phoneticPr fontId="4"/>
  </si>
  <si>
    <t>簡易陰圧装置</t>
    <rPh sb="0" eb="2">
      <t>カンイ</t>
    </rPh>
    <rPh sb="2" eb="3">
      <t>カゲ</t>
    </rPh>
    <rPh sb="3" eb="4">
      <t>アツ</t>
    </rPh>
    <rPh sb="4" eb="6">
      <t>ソウチ</t>
    </rPh>
    <phoneticPr fontId="4"/>
  </si>
  <si>
    <t>簡易ベッド</t>
    <rPh sb="0" eb="2">
      <t>カンイ</t>
    </rPh>
    <phoneticPr fontId="4"/>
  </si>
  <si>
    <t>体外式膜型人工肺</t>
    <rPh sb="0" eb="3">
      <t>タイガイシキ</t>
    </rPh>
    <rPh sb="3" eb="4">
      <t>マク</t>
    </rPh>
    <rPh sb="4" eb="5">
      <t>ガタ</t>
    </rPh>
    <rPh sb="5" eb="7">
      <t>ジンコウ</t>
    </rPh>
    <rPh sb="7" eb="8">
      <t>ハイ</t>
    </rPh>
    <phoneticPr fontId="4"/>
  </si>
  <si>
    <t>簡易病室</t>
    <rPh sb="0" eb="2">
      <t>カンイ</t>
    </rPh>
    <rPh sb="2" eb="4">
      <t>ビョウシツ</t>
    </rPh>
    <phoneticPr fontId="4"/>
  </si>
  <si>
    <t>入院医療機関設備整備事業</t>
    <rPh sb="0" eb="2">
      <t>ニュウイン</t>
    </rPh>
    <rPh sb="2" eb="4">
      <t>イリョウ</t>
    </rPh>
    <rPh sb="4" eb="6">
      <t>キカン</t>
    </rPh>
    <rPh sb="6" eb="8">
      <t>セツビ</t>
    </rPh>
    <rPh sb="8" eb="10">
      <t>セイビ</t>
    </rPh>
    <rPh sb="10" eb="12">
      <t>ジギョウ</t>
    </rPh>
    <phoneticPr fontId="4"/>
  </si>
  <si>
    <t>重点医療機関等設備整備事業</t>
    <rPh sb="0" eb="2">
      <t>ジュウテン</t>
    </rPh>
    <rPh sb="2" eb="4">
      <t>イリョウ</t>
    </rPh>
    <rPh sb="4" eb="6">
      <t>キカン</t>
    </rPh>
    <rPh sb="6" eb="7">
      <t>トウ</t>
    </rPh>
    <rPh sb="7" eb="9">
      <t>セツビ</t>
    </rPh>
    <rPh sb="9" eb="11">
      <t>セイビ</t>
    </rPh>
    <rPh sb="11" eb="13">
      <t>ジギョウ</t>
    </rPh>
    <phoneticPr fontId="4"/>
  </si>
  <si>
    <t>超音波画像診断装置</t>
    <rPh sb="0" eb="3">
      <t>チョウオンパ</t>
    </rPh>
    <rPh sb="3" eb="5">
      <t>ガゾウ</t>
    </rPh>
    <rPh sb="5" eb="7">
      <t>シンダン</t>
    </rPh>
    <rPh sb="7" eb="9">
      <t>ソウチ</t>
    </rPh>
    <phoneticPr fontId="4"/>
  </si>
  <si>
    <t>血液浄化装置</t>
    <rPh sb="0" eb="2">
      <t>ケツエキ</t>
    </rPh>
    <rPh sb="2" eb="4">
      <t>ジョウカ</t>
    </rPh>
    <rPh sb="4" eb="6">
      <t>ソウチ</t>
    </rPh>
    <phoneticPr fontId="4"/>
  </si>
  <si>
    <t>気管支鏡</t>
    <rPh sb="0" eb="4">
      <t>キカンシキョウ</t>
    </rPh>
    <phoneticPr fontId="4"/>
  </si>
  <si>
    <t>CT撮影装置</t>
    <rPh sb="2" eb="4">
      <t>サツエイ</t>
    </rPh>
    <rPh sb="4" eb="6">
      <t>ソウチ</t>
    </rPh>
    <phoneticPr fontId="4"/>
  </si>
  <si>
    <t>生体情報モニタ</t>
    <rPh sb="2" eb="4">
      <t>ジョウホウ</t>
    </rPh>
    <phoneticPr fontId="4"/>
  </si>
  <si>
    <t>分娩監視装置</t>
    <rPh sb="0" eb="2">
      <t>ブンベン</t>
    </rPh>
    <rPh sb="2" eb="4">
      <t>カンシ</t>
    </rPh>
    <rPh sb="4" eb="6">
      <t>ソウチ</t>
    </rPh>
    <phoneticPr fontId="4"/>
  </si>
  <si>
    <t>新生児モニタ</t>
    <rPh sb="0" eb="3">
      <t>シンセイジ</t>
    </rPh>
    <phoneticPr fontId="4"/>
  </si>
  <si>
    <t>紫外線照射装置</t>
    <rPh sb="0" eb="3">
      <t>シガイセン</t>
    </rPh>
    <rPh sb="3" eb="5">
      <t>ショウシャ</t>
    </rPh>
    <rPh sb="5" eb="7">
      <t>ソウチ</t>
    </rPh>
    <phoneticPr fontId="4"/>
  </si>
  <si>
    <t>小　計</t>
    <rPh sb="0" eb="1">
      <t>ショウ</t>
    </rPh>
    <rPh sb="2" eb="3">
      <t>ケイ</t>
    </rPh>
    <phoneticPr fontId="5"/>
  </si>
  <si>
    <t>所要見込額</t>
    <rPh sb="0" eb="2">
      <t>ショヨウ</t>
    </rPh>
    <rPh sb="2" eb="4">
      <t>ミコミ</t>
    </rPh>
    <rPh sb="4" eb="5">
      <t>ガク</t>
    </rPh>
    <phoneticPr fontId="5"/>
  </si>
  <si>
    <t>整備品目</t>
    <rPh sb="0" eb="2">
      <t>セイビ</t>
    </rPh>
    <rPh sb="2" eb="4">
      <t>ヒンモク</t>
    </rPh>
    <phoneticPr fontId="5"/>
  </si>
  <si>
    <t>事業</t>
    <rPh sb="0" eb="2">
      <t>ジギョウ</t>
    </rPh>
    <phoneticPr fontId="5"/>
  </si>
  <si>
    <t>寄付金その他の
収入予定額</t>
    <rPh sb="0" eb="3">
      <t>キフキン</t>
    </rPh>
    <rPh sb="5" eb="6">
      <t>タ</t>
    </rPh>
    <rPh sb="8" eb="10">
      <t>シュウニュウ</t>
    </rPh>
    <rPh sb="10" eb="12">
      <t>ヨテイ</t>
    </rPh>
    <rPh sb="12" eb="13">
      <t>ガク</t>
    </rPh>
    <phoneticPr fontId="5"/>
  </si>
  <si>
    <t>支出予定額</t>
    <rPh sb="0" eb="2">
      <t>シシュツ</t>
    </rPh>
    <rPh sb="2" eb="4">
      <t>ヨテイ</t>
    </rPh>
    <rPh sb="4" eb="5">
      <t>ガク</t>
    </rPh>
    <phoneticPr fontId="5"/>
  </si>
  <si>
    <t>明細</t>
    <rPh sb="0" eb="2">
      <t>メイサイ</t>
    </rPh>
    <phoneticPr fontId="5"/>
  </si>
  <si>
    <t>県補助見込額</t>
    <rPh sb="0" eb="1">
      <t>ケン</t>
    </rPh>
    <rPh sb="1" eb="3">
      <t>ホジョ</t>
    </rPh>
    <rPh sb="3" eb="5">
      <t>ミコミ</t>
    </rPh>
    <rPh sb="5" eb="6">
      <t>ガク</t>
    </rPh>
    <phoneticPr fontId="5"/>
  </si>
  <si>
    <t>合　計</t>
    <rPh sb="0" eb="1">
      <t>ゴウ</t>
    </rPh>
    <rPh sb="2" eb="3">
      <t>ケイ</t>
    </rPh>
    <phoneticPr fontId="5"/>
  </si>
  <si>
    <t>別紙2-1</t>
    <rPh sb="0" eb="2">
      <t>ベッシ</t>
    </rPh>
    <phoneticPr fontId="5"/>
  </si>
  <si>
    <t>別紙2-2</t>
    <rPh sb="0" eb="2">
      <t>ベッシ</t>
    </rPh>
    <phoneticPr fontId="5"/>
  </si>
  <si>
    <t>別紙2-3</t>
    <rPh sb="0" eb="2">
      <t>ベッシ</t>
    </rPh>
    <phoneticPr fontId="5"/>
  </si>
  <si>
    <t>別紙2-4</t>
    <rPh sb="0" eb="2">
      <t>ベッシ</t>
    </rPh>
    <phoneticPr fontId="5"/>
  </si>
  <si>
    <t>別紙2-5</t>
    <rPh sb="0" eb="2">
      <t>ベッシ</t>
    </rPh>
    <phoneticPr fontId="5"/>
  </si>
  <si>
    <t>別紙2-6</t>
    <rPh sb="0" eb="2">
      <t>ベッシ</t>
    </rPh>
    <phoneticPr fontId="5"/>
  </si>
  <si>
    <t>別紙2-7</t>
    <rPh sb="0" eb="2">
      <t>ベッシ</t>
    </rPh>
    <phoneticPr fontId="5"/>
  </si>
  <si>
    <t>別紙2-8</t>
    <rPh sb="0" eb="2">
      <t>ベッシ</t>
    </rPh>
    <phoneticPr fontId="5"/>
  </si>
  <si>
    <t>別紙2-9</t>
    <rPh sb="0" eb="2">
      <t>ベッシ</t>
    </rPh>
    <phoneticPr fontId="5"/>
  </si>
  <si>
    <t>別紙2-10</t>
    <rPh sb="0" eb="2">
      <t>ベッシ</t>
    </rPh>
    <phoneticPr fontId="5"/>
  </si>
  <si>
    <t>別紙2-11</t>
    <rPh sb="0" eb="2">
      <t>ベッシ</t>
    </rPh>
    <phoneticPr fontId="5"/>
  </si>
  <si>
    <t>別紙2-12</t>
    <rPh sb="0" eb="2">
      <t>ベッシ</t>
    </rPh>
    <phoneticPr fontId="5"/>
  </si>
  <si>
    <t>別紙2-13</t>
    <rPh sb="0" eb="2">
      <t>ベッシ</t>
    </rPh>
    <phoneticPr fontId="5"/>
  </si>
  <si>
    <t>別紙2-14</t>
    <rPh sb="0" eb="2">
      <t>ベッシ</t>
    </rPh>
    <phoneticPr fontId="5"/>
  </si>
  <si>
    <t>別紙2-15</t>
    <rPh sb="0" eb="2">
      <t>ベッシ</t>
    </rPh>
    <phoneticPr fontId="5"/>
  </si>
  <si>
    <t>（５）その他必要な書類</t>
    <rPh sb="5" eb="6">
      <t>タ</t>
    </rPh>
    <rPh sb="6" eb="8">
      <t>ヒツヨウ</t>
    </rPh>
    <rPh sb="9" eb="11">
      <t>ショルイ</t>
    </rPh>
    <phoneticPr fontId="5"/>
  </si>
  <si>
    <t>（２）明細書（別紙2-1～2-15の内、整備に関係するもの。）</t>
    <rPh sb="3" eb="6">
      <t>メイサイショ</t>
    </rPh>
    <rPh sb="7" eb="9">
      <t>ベッシ</t>
    </rPh>
    <rPh sb="18" eb="19">
      <t>ウチ</t>
    </rPh>
    <rPh sb="20" eb="22">
      <t>セイビ</t>
    </rPh>
    <rPh sb="23" eb="25">
      <t>カンケイ</t>
    </rPh>
    <phoneticPr fontId="5"/>
  </si>
  <si>
    <t>整備先・内容</t>
    <rPh sb="0" eb="2">
      <t>セイビ</t>
    </rPh>
    <rPh sb="2" eb="3">
      <t>サキ</t>
    </rPh>
    <rPh sb="4" eb="6">
      <t>ナイヨウ</t>
    </rPh>
    <phoneticPr fontId="9"/>
  </si>
  <si>
    <t>規格・数量</t>
    <rPh sb="0" eb="2">
      <t>キカク</t>
    </rPh>
    <rPh sb="3" eb="5">
      <t>スウリョウ</t>
    </rPh>
    <phoneticPr fontId="9"/>
  </si>
  <si>
    <t>単価・対象経費か否か</t>
    <rPh sb="0" eb="2">
      <t>タンカ</t>
    </rPh>
    <rPh sb="3" eb="5">
      <t>タイショウ</t>
    </rPh>
    <rPh sb="5" eb="7">
      <t>ケイヒ</t>
    </rPh>
    <rPh sb="8" eb="9">
      <t>イナ</t>
    </rPh>
    <phoneticPr fontId="9"/>
  </si>
  <si>
    <t>補助対象額</t>
    <rPh sb="0" eb="2">
      <t>ホジョ</t>
    </rPh>
    <rPh sb="2" eb="4">
      <t>タイショウ</t>
    </rPh>
    <rPh sb="4" eb="5">
      <t>ガク</t>
    </rPh>
    <phoneticPr fontId="9"/>
  </si>
  <si>
    <t>番号</t>
    <rPh sb="0" eb="2">
      <t>バンゴウ</t>
    </rPh>
    <phoneticPr fontId="9"/>
  </si>
  <si>
    <t>病床</t>
    <rPh sb="0" eb="2">
      <t>ビョウショウ</t>
    </rPh>
    <phoneticPr fontId="9"/>
  </si>
  <si>
    <t>用途先病床</t>
    <rPh sb="0" eb="2">
      <t>ヨウト</t>
    </rPh>
    <rPh sb="2" eb="3">
      <t>サキ</t>
    </rPh>
    <rPh sb="3" eb="5">
      <t>ビョウショウ</t>
    </rPh>
    <phoneticPr fontId="9"/>
  </si>
  <si>
    <t>整備区分</t>
    <rPh sb="0" eb="2">
      <t>セイビ</t>
    </rPh>
    <rPh sb="2" eb="4">
      <t>クブン</t>
    </rPh>
    <phoneticPr fontId="9"/>
  </si>
  <si>
    <t>数量</t>
    <rPh sb="0" eb="2">
      <t>スウリョウ</t>
    </rPh>
    <phoneticPr fontId="9"/>
  </si>
  <si>
    <t>単価(税抜)</t>
    <rPh sb="0" eb="2">
      <t>タンカ</t>
    </rPh>
    <rPh sb="3" eb="4">
      <t>ゼイ</t>
    </rPh>
    <rPh sb="4" eb="5">
      <t>ヌ</t>
    </rPh>
    <phoneticPr fontId="9"/>
  </si>
  <si>
    <t>単価(税込)</t>
    <rPh sb="0" eb="2">
      <t>タンカ</t>
    </rPh>
    <rPh sb="3" eb="4">
      <t>ゼイ</t>
    </rPh>
    <rPh sb="4" eb="5">
      <t>コミ</t>
    </rPh>
    <phoneticPr fontId="9"/>
  </si>
  <si>
    <t>金額(税込)</t>
    <rPh sb="0" eb="2">
      <t>キンガク</t>
    </rPh>
    <rPh sb="3" eb="5">
      <t>ゼイコミ</t>
    </rPh>
    <phoneticPr fontId="9"/>
  </si>
  <si>
    <t>補助対象区分</t>
    <rPh sb="0" eb="2">
      <t>ホジョ</t>
    </rPh>
    <rPh sb="2" eb="4">
      <t>タイショウ</t>
    </rPh>
    <rPh sb="4" eb="6">
      <t>クブン</t>
    </rPh>
    <phoneticPr fontId="9"/>
  </si>
  <si>
    <t>品名</t>
    <rPh sb="0" eb="2">
      <t>ヒンメイ</t>
    </rPh>
    <phoneticPr fontId="9"/>
  </si>
  <si>
    <t>１．整備理由</t>
    <rPh sb="2" eb="4">
      <t>セイビ</t>
    </rPh>
    <rPh sb="4" eb="6">
      <t>リユウ</t>
    </rPh>
    <phoneticPr fontId="5"/>
  </si>
  <si>
    <t>（１）整備を行う対象の確保病床数及び当該病床が確保病床として指定を受けた日付を記入してください。</t>
    <rPh sb="3" eb="5">
      <t>セイビ</t>
    </rPh>
    <rPh sb="6" eb="7">
      <t>オコナ</t>
    </rPh>
    <rPh sb="8" eb="10">
      <t>タイショウ</t>
    </rPh>
    <rPh sb="11" eb="13">
      <t>カクホ</t>
    </rPh>
    <rPh sb="13" eb="15">
      <t>ビョウショウ</t>
    </rPh>
    <rPh sb="15" eb="16">
      <t>スウ</t>
    </rPh>
    <rPh sb="16" eb="17">
      <t>オヨ</t>
    </rPh>
    <rPh sb="18" eb="20">
      <t>トウガイ</t>
    </rPh>
    <rPh sb="20" eb="22">
      <t>ビョウショウ</t>
    </rPh>
    <rPh sb="23" eb="25">
      <t>カクホ</t>
    </rPh>
    <rPh sb="25" eb="27">
      <t>ビョウショウ</t>
    </rPh>
    <rPh sb="30" eb="32">
      <t>シテイ</t>
    </rPh>
    <rPh sb="33" eb="34">
      <t>ウ</t>
    </rPh>
    <rPh sb="36" eb="38">
      <t>ヒヅケ</t>
    </rPh>
    <rPh sb="39" eb="41">
      <t>キニュウ</t>
    </rPh>
    <phoneticPr fontId="5"/>
  </si>
  <si>
    <t>病床数</t>
    <rPh sb="0" eb="3">
      <t>ビョウショウスウ</t>
    </rPh>
    <phoneticPr fontId="5"/>
  </si>
  <si>
    <t>指定日</t>
    <rPh sb="0" eb="3">
      <t>シテイビ</t>
    </rPh>
    <phoneticPr fontId="5"/>
  </si>
  <si>
    <t>（２）この度、新たに整備を行う必要が生じた理由を詳しく記入してください。</t>
    <rPh sb="5" eb="6">
      <t>タビ</t>
    </rPh>
    <rPh sb="7" eb="8">
      <t>アラ</t>
    </rPh>
    <rPh sb="10" eb="12">
      <t>セイビ</t>
    </rPh>
    <rPh sb="13" eb="14">
      <t>オコナ</t>
    </rPh>
    <rPh sb="15" eb="17">
      <t>ヒツヨウ</t>
    </rPh>
    <rPh sb="18" eb="19">
      <t>ショウ</t>
    </rPh>
    <rPh sb="21" eb="23">
      <t>リユウ</t>
    </rPh>
    <rPh sb="24" eb="25">
      <t>クワ</t>
    </rPh>
    <rPh sb="27" eb="29">
      <t>キニュウ</t>
    </rPh>
    <phoneticPr fontId="5"/>
  </si>
  <si>
    <t>記入項目</t>
    <rPh sb="0" eb="2">
      <t>キニュウ</t>
    </rPh>
    <rPh sb="2" eb="4">
      <t>コウモク</t>
    </rPh>
    <phoneticPr fontId="9"/>
  </si>
  <si>
    <t>記入欄</t>
    <rPh sb="0" eb="2">
      <t>キニュウ</t>
    </rPh>
    <rPh sb="2" eb="3">
      <t>ラン</t>
    </rPh>
    <phoneticPr fontId="9"/>
  </si>
  <si>
    <t>入力判定</t>
    <rPh sb="0" eb="2">
      <t>ニュウリョク</t>
    </rPh>
    <rPh sb="2" eb="4">
      <t>ハンテイ</t>
    </rPh>
    <phoneticPr fontId="9"/>
  </si>
  <si>
    <t>コメント</t>
    <phoneticPr fontId="9"/>
  </si>
  <si>
    <t>法人・個人事業主の別</t>
    <rPh sb="0" eb="2">
      <t>ホウジン</t>
    </rPh>
    <rPh sb="3" eb="5">
      <t>コジン</t>
    </rPh>
    <rPh sb="5" eb="8">
      <t>ジギョウヌシ</t>
    </rPh>
    <rPh sb="9" eb="10">
      <t>ベツ</t>
    </rPh>
    <phoneticPr fontId="9"/>
  </si>
  <si>
    <t>　　　法人（医療法人等）</t>
    <rPh sb="3" eb="5">
      <t>ホウジン</t>
    </rPh>
    <rPh sb="6" eb="8">
      <t>イリョウ</t>
    </rPh>
    <rPh sb="8" eb="10">
      <t>ホウジン</t>
    </rPh>
    <rPh sb="10" eb="11">
      <t>トウ</t>
    </rPh>
    <phoneticPr fontId="9"/>
  </si>
  <si>
    <t>　　　個人事業主（法人ではない）</t>
    <rPh sb="3" eb="5">
      <t>コジン</t>
    </rPh>
    <rPh sb="5" eb="7">
      <t>ジギョウ</t>
    </rPh>
    <rPh sb="7" eb="8">
      <t>ヌシ</t>
    </rPh>
    <rPh sb="9" eb="11">
      <t>ホウジン</t>
    </rPh>
    <phoneticPr fontId="9"/>
  </si>
  <si>
    <t>　　　公立医療機関</t>
    <rPh sb="3" eb="5">
      <t>コウリツ</t>
    </rPh>
    <rPh sb="5" eb="7">
      <t>イリョウ</t>
    </rPh>
    <rPh sb="7" eb="9">
      <t>キカン</t>
    </rPh>
    <phoneticPr fontId="9"/>
  </si>
  <si>
    <t>事業者名（法人名または屋号）</t>
    <rPh sb="0" eb="3">
      <t>ジギョウシャ</t>
    </rPh>
    <rPh sb="3" eb="4">
      <t>メイ</t>
    </rPh>
    <rPh sb="5" eb="7">
      <t>ホウジン</t>
    </rPh>
    <rPh sb="7" eb="8">
      <t>メイ</t>
    </rPh>
    <rPh sb="11" eb="13">
      <t>ヤゴウ</t>
    </rPh>
    <phoneticPr fontId="9"/>
  </si>
  <si>
    <t>代表者役職</t>
    <rPh sb="0" eb="3">
      <t>ダイヒョウシャ</t>
    </rPh>
    <rPh sb="3" eb="5">
      <t>ヤクショク</t>
    </rPh>
    <phoneticPr fontId="9"/>
  </si>
  <si>
    <t>年</t>
  </si>
  <si>
    <t>月</t>
  </si>
  <si>
    <t>日</t>
  </si>
  <si>
    <t>代表者氏名</t>
    <rPh sb="0" eb="3">
      <t>ダイヒョウシャ</t>
    </rPh>
    <rPh sb="3" eb="5">
      <t>シメイ</t>
    </rPh>
    <phoneticPr fontId="9"/>
  </si>
  <si>
    <t>所在地</t>
    <rPh sb="0" eb="3">
      <t>ショザイチ</t>
    </rPh>
    <phoneticPr fontId="9"/>
  </si>
  <si>
    <t>施設の名称</t>
    <rPh sb="0" eb="2">
      <t>シセツ</t>
    </rPh>
    <rPh sb="3" eb="5">
      <t>メイショウ</t>
    </rPh>
    <phoneticPr fontId="9"/>
  </si>
  <si>
    <t>施設所在地</t>
    <rPh sb="0" eb="5">
      <t>シセツショザイチ</t>
    </rPh>
    <phoneticPr fontId="9"/>
  </si>
  <si>
    <t>床</t>
    <rPh sb="0" eb="1">
      <t>ユカ</t>
    </rPh>
    <phoneticPr fontId="9"/>
  </si>
  <si>
    <t>合計</t>
    <rPh sb="0" eb="2">
      <t>ゴウケイ</t>
    </rPh>
    <phoneticPr fontId="9"/>
  </si>
  <si>
    <t>提出日</t>
  </si>
  <si>
    <t>提出日</t>
    <rPh sb="0" eb="2">
      <t>テイシュツ</t>
    </rPh>
    <rPh sb="2" eb="3">
      <t>ビ</t>
    </rPh>
    <phoneticPr fontId="9"/>
  </si>
  <si>
    <t>令和</t>
    <rPh sb="0" eb="2">
      <t>レイワ</t>
    </rPh>
    <phoneticPr fontId="9"/>
  </si>
  <si>
    <t>年</t>
    <rPh sb="0" eb="1">
      <t>ネン</t>
    </rPh>
    <phoneticPr fontId="9"/>
  </si>
  <si>
    <t>月</t>
    <rPh sb="0" eb="1">
      <t>ガツ</t>
    </rPh>
    <phoneticPr fontId="9"/>
  </si>
  <si>
    <t>日</t>
    <rPh sb="0" eb="1">
      <t>ニチ</t>
    </rPh>
    <phoneticPr fontId="9"/>
  </si>
  <si>
    <t>文書番号</t>
    <rPh sb="0" eb="2">
      <t>ブンショ</t>
    </rPh>
    <rPh sb="2" eb="4">
      <t>バンゴウ</t>
    </rPh>
    <phoneticPr fontId="9"/>
  </si>
  <si>
    <t>○</t>
    <phoneticPr fontId="9"/>
  </si>
  <si>
    <t>（任意）文書を発出する際に文書番号が必要である場合は入力してください</t>
    <phoneticPr fontId="9"/>
  </si>
  <si>
    <t>交付決定日</t>
  </si>
  <si>
    <t>担当部署</t>
    <rPh sb="0" eb="2">
      <t>タントウ</t>
    </rPh>
    <rPh sb="2" eb="4">
      <t>ブショ</t>
    </rPh>
    <phoneticPr fontId="9"/>
  </si>
  <si>
    <t>国事業完了日</t>
  </si>
  <si>
    <t>担当者名</t>
    <rPh sb="0" eb="2">
      <t>タントウ</t>
    </rPh>
    <rPh sb="2" eb="3">
      <t>シャ</t>
    </rPh>
    <rPh sb="3" eb="4">
      <t>メイ</t>
    </rPh>
    <phoneticPr fontId="9"/>
  </si>
  <si>
    <t>電話番号（担当直通）</t>
    <rPh sb="0" eb="2">
      <t>デンワ</t>
    </rPh>
    <rPh sb="2" eb="4">
      <t>バンゴウ</t>
    </rPh>
    <rPh sb="5" eb="7">
      <t>タントウ</t>
    </rPh>
    <rPh sb="7" eb="9">
      <t>チョクツウ</t>
    </rPh>
    <phoneticPr fontId="9"/>
  </si>
  <si>
    <t>申立てする</t>
    <rPh sb="0" eb="2">
      <t>モウシタテ</t>
    </rPh>
    <phoneticPr fontId="9"/>
  </si>
  <si>
    <t>Mailｱﾄﾞﾚｽ（担当直通）</t>
    <rPh sb="10" eb="12">
      <t>タントウ</t>
    </rPh>
    <rPh sb="12" eb="14">
      <t>チョクツウ</t>
    </rPh>
    <phoneticPr fontId="9"/>
  </si>
  <si>
    <t>申し立てしない</t>
    <rPh sb="0" eb="1">
      <t>モウ</t>
    </rPh>
    <rPh sb="2" eb="3">
      <t>タ</t>
    </rPh>
    <phoneticPr fontId="9"/>
  </si>
  <si>
    <t>４感対第１４０９－
または
４感対第１６８４－</t>
    <rPh sb="1" eb="2">
      <t>カン</t>
    </rPh>
    <rPh sb="2" eb="3">
      <t>タイ</t>
    </rPh>
    <rPh sb="3" eb="4">
      <t>ダイ</t>
    </rPh>
    <phoneticPr fontId="9"/>
  </si>
  <si>
    <t>号</t>
    <rPh sb="0" eb="1">
      <t>ゴウ</t>
    </rPh>
    <phoneticPr fontId="9"/>
  </si>
  <si>
    <t>申立事項
申請内容が右記事項と相違ないことを確認し、「申立てする」を選択してください。</t>
    <rPh sb="0" eb="2">
      <t>モウシタテ</t>
    </rPh>
    <rPh sb="2" eb="4">
      <t>ジコウ</t>
    </rPh>
    <rPh sb="5" eb="7">
      <t>シンセイ</t>
    </rPh>
    <rPh sb="7" eb="9">
      <t>ナイヨウ</t>
    </rPh>
    <rPh sb="10" eb="12">
      <t>ウキ</t>
    </rPh>
    <rPh sb="12" eb="14">
      <t>ジコウ</t>
    </rPh>
    <rPh sb="15" eb="17">
      <t>ソウイ</t>
    </rPh>
    <rPh sb="22" eb="24">
      <t>カクニン</t>
    </rPh>
    <rPh sb="27" eb="28">
      <t>モウ</t>
    </rPh>
    <rPh sb="28" eb="29">
      <t>タ</t>
    </rPh>
    <rPh sb="34" eb="36">
      <t>センタク</t>
    </rPh>
    <phoneticPr fontId="9"/>
  </si>
  <si>
    <t>【重点医療機関で該当の場合】
専門治療が必要な患者の
入院受入の可否</t>
    <rPh sb="1" eb="3">
      <t>ジュウテン</t>
    </rPh>
    <rPh sb="3" eb="5">
      <t>イリョウ</t>
    </rPh>
    <rPh sb="5" eb="7">
      <t>キカン</t>
    </rPh>
    <rPh sb="8" eb="10">
      <t>ガイトウ</t>
    </rPh>
    <rPh sb="11" eb="13">
      <t>バアイ</t>
    </rPh>
    <rPh sb="15" eb="17">
      <t>センモン</t>
    </rPh>
    <rPh sb="17" eb="19">
      <t>チリョウ</t>
    </rPh>
    <rPh sb="20" eb="22">
      <t>ヒツヨウ</t>
    </rPh>
    <rPh sb="23" eb="25">
      <t>カンジャ</t>
    </rPh>
    <rPh sb="27" eb="29">
      <t>ニュウイン</t>
    </rPh>
    <rPh sb="29" eb="31">
      <t>ウケイレ</t>
    </rPh>
    <rPh sb="32" eb="34">
      <t>カヒ</t>
    </rPh>
    <phoneticPr fontId="9"/>
  </si>
  <si>
    <t>　　　透析患者</t>
    <rPh sb="3" eb="5">
      <t>トウセキ</t>
    </rPh>
    <rPh sb="5" eb="7">
      <t>カンジャ</t>
    </rPh>
    <phoneticPr fontId="9"/>
  </si>
  <si>
    <t>　　　妊産婦の患者</t>
    <rPh sb="3" eb="6">
      <t>ニンサンプ</t>
    </rPh>
    <rPh sb="7" eb="9">
      <t>カンジャ</t>
    </rPh>
    <phoneticPr fontId="9"/>
  </si>
  <si>
    <t>　　　小児患者</t>
    <rPh sb="3" eb="5">
      <t>ショウニ</t>
    </rPh>
    <rPh sb="5" eb="7">
      <t>カンジャ</t>
    </rPh>
    <phoneticPr fontId="9"/>
  </si>
  <si>
    <t>↘</t>
    <phoneticPr fontId="9"/>
  </si>
  <si>
    <t>判　定</t>
    <rPh sb="0" eb="1">
      <t>ハン</t>
    </rPh>
    <rPh sb="2" eb="3">
      <t>サダム</t>
    </rPh>
    <phoneticPr fontId="9"/>
  </si>
  <si>
    <r>
      <t>２．各種様式の入力について
　　上記「１．はじめに」を入力後、関係の様式に必要情報を入力いただきます。
　　下の表は、それぞれの様式で必要情報が適切に入力されているか否かの表示がされるようにされています。
　　作成にあたっての参考としていただき、</t>
    </r>
    <r>
      <rPr>
        <b/>
        <u/>
        <sz val="12"/>
        <color rgb="FFFF0000"/>
        <rFont val="Yu Gothic"/>
        <family val="3"/>
        <charset val="128"/>
        <scheme val="minor"/>
      </rPr>
      <t>提出にあたっては「総合判定」が「○」になっていることを必ず確認</t>
    </r>
    <r>
      <rPr>
        <b/>
        <sz val="12"/>
        <color theme="1"/>
        <rFont val="Yu Gothic"/>
        <family val="3"/>
        <charset val="128"/>
        <scheme val="minor"/>
      </rPr>
      <t>してください。</t>
    </r>
    <rPh sb="2" eb="4">
      <t>カクシュ</t>
    </rPh>
    <rPh sb="4" eb="6">
      <t>ヨウシキ</t>
    </rPh>
    <rPh sb="7" eb="9">
      <t>ニュウリョク</t>
    </rPh>
    <rPh sb="16" eb="18">
      <t>ジョウキ</t>
    </rPh>
    <rPh sb="27" eb="29">
      <t>ニュウリョク</t>
    </rPh>
    <rPh sb="29" eb="30">
      <t>ゴ</t>
    </rPh>
    <rPh sb="31" eb="33">
      <t>カンケイ</t>
    </rPh>
    <rPh sb="34" eb="36">
      <t>ヨウシキ</t>
    </rPh>
    <rPh sb="37" eb="39">
      <t>ヒツヨウ</t>
    </rPh>
    <rPh sb="39" eb="41">
      <t>ジョウホウ</t>
    </rPh>
    <rPh sb="42" eb="44">
      <t>ニュウリョク</t>
    </rPh>
    <rPh sb="54" eb="55">
      <t>シタ</t>
    </rPh>
    <rPh sb="56" eb="57">
      <t>ヒョウ</t>
    </rPh>
    <rPh sb="64" eb="66">
      <t>ヨウシキ</t>
    </rPh>
    <rPh sb="67" eb="69">
      <t>ヒツヨウ</t>
    </rPh>
    <rPh sb="69" eb="71">
      <t>ジョウホウ</t>
    </rPh>
    <rPh sb="72" eb="74">
      <t>テキセツ</t>
    </rPh>
    <rPh sb="75" eb="77">
      <t>ニュウリョク</t>
    </rPh>
    <rPh sb="83" eb="84">
      <t>イナ</t>
    </rPh>
    <rPh sb="86" eb="88">
      <t>ヒョウジ</t>
    </rPh>
    <rPh sb="105" eb="107">
      <t>サクセイ</t>
    </rPh>
    <rPh sb="113" eb="115">
      <t>サンコウ</t>
    </rPh>
    <rPh sb="123" eb="125">
      <t>テイシュツ</t>
    </rPh>
    <rPh sb="132" eb="134">
      <t>ソウゴウ</t>
    </rPh>
    <rPh sb="134" eb="136">
      <t>ハンテイ</t>
    </rPh>
    <rPh sb="150" eb="151">
      <t>カナラ</t>
    </rPh>
    <rPh sb="152" eb="154">
      <t>カクニン</t>
    </rPh>
    <phoneticPr fontId="9"/>
  </si>
  <si>
    <t>総合判定</t>
    <rPh sb="0" eb="2">
      <t>ソウゴウ</t>
    </rPh>
    <rPh sb="2" eb="4">
      <t>ハンテイ</t>
    </rPh>
    <phoneticPr fontId="9"/>
  </si>
  <si>
    <t>書類名称</t>
    <rPh sb="0" eb="2">
      <t>ショルイ</t>
    </rPh>
    <rPh sb="2" eb="4">
      <t>メイショウ</t>
    </rPh>
    <phoneticPr fontId="9"/>
  </si>
  <si>
    <t>入力の要否</t>
    <rPh sb="0" eb="2">
      <t>ニュウリョク</t>
    </rPh>
    <rPh sb="3" eb="5">
      <t>ヨウヒ</t>
    </rPh>
    <phoneticPr fontId="9"/>
  </si>
  <si>
    <t>判定</t>
    <rPh sb="0" eb="2">
      <t>ハンテイ</t>
    </rPh>
    <phoneticPr fontId="9"/>
  </si>
  <si>
    <t>はじめに入力してください</t>
    <phoneticPr fontId="9"/>
  </si>
  <si>
    <t>【必須】</t>
    <rPh sb="1" eb="3">
      <t>ヒッス</t>
    </rPh>
    <phoneticPr fontId="9"/>
  </si>
  <si>
    <t>○</t>
  </si>
  <si>
    <t>補助金以外で事業に充当する寄付金その他の収入がある場合は入力してください。
（ない場合は入力は不要です。）</t>
    <rPh sb="0" eb="3">
      <t>ホジョキン</t>
    </rPh>
    <rPh sb="3" eb="5">
      <t>イガイ</t>
    </rPh>
    <rPh sb="6" eb="8">
      <t>ジギョウ</t>
    </rPh>
    <rPh sb="9" eb="11">
      <t>ジュウトウ</t>
    </rPh>
    <rPh sb="25" eb="27">
      <t>バアイ</t>
    </rPh>
    <rPh sb="28" eb="30">
      <t>ニュウリョク</t>
    </rPh>
    <rPh sb="41" eb="43">
      <t>バアイ</t>
    </rPh>
    <rPh sb="44" eb="46">
      <t>ニュウリョク</t>
    </rPh>
    <rPh sb="47" eb="49">
      <t>フヨウ</t>
    </rPh>
    <phoneticPr fontId="9"/>
  </si>
  <si>
    <t>初度設備</t>
    <rPh sb="0" eb="2">
      <t>ショド</t>
    </rPh>
    <rPh sb="2" eb="4">
      <t>セツビ</t>
    </rPh>
    <phoneticPr fontId="9"/>
  </si>
  <si>
    <t>申請する場合入力</t>
    <rPh sb="0" eb="2">
      <t>シンセイ</t>
    </rPh>
    <rPh sb="4" eb="6">
      <t>バアイ</t>
    </rPh>
    <rPh sb="6" eb="8">
      <t>ニュウリョク</t>
    </rPh>
    <phoneticPr fontId="9"/>
  </si>
  <si>
    <t>共通使用</t>
    <rPh sb="0" eb="2">
      <t>キョウツウ</t>
    </rPh>
    <rPh sb="2" eb="4">
      <t>シヨウ</t>
    </rPh>
    <phoneticPr fontId="9"/>
  </si>
  <si>
    <t>既設病床</t>
    <rPh sb="0" eb="2">
      <t>キセツ</t>
    </rPh>
    <rPh sb="2" eb="4">
      <t>ビョウショウ</t>
    </rPh>
    <phoneticPr fontId="9"/>
  </si>
  <si>
    <t>新設病床</t>
    <rPh sb="0" eb="2">
      <t>シンセツ</t>
    </rPh>
    <rPh sb="2" eb="4">
      <t>ビョウショウ</t>
    </rPh>
    <phoneticPr fontId="9"/>
  </si>
  <si>
    <t>人工呼吸器</t>
    <rPh sb="0" eb="2">
      <t>ジンコウ</t>
    </rPh>
    <rPh sb="2" eb="5">
      <t>コキュウキ</t>
    </rPh>
    <phoneticPr fontId="9"/>
  </si>
  <si>
    <t>対応病床共通</t>
    <rPh sb="0" eb="2">
      <t>タイオウ</t>
    </rPh>
    <rPh sb="2" eb="4">
      <t>ビョウショウ</t>
    </rPh>
    <rPh sb="4" eb="6">
      <t>キョウツウ</t>
    </rPh>
    <phoneticPr fontId="9"/>
  </si>
  <si>
    <t>既設病床1</t>
    <rPh sb="0" eb="2">
      <t>キセツ</t>
    </rPh>
    <rPh sb="2" eb="4">
      <t>ビョウショウ</t>
    </rPh>
    <phoneticPr fontId="9"/>
  </si>
  <si>
    <t>新設病床1</t>
    <rPh sb="0" eb="2">
      <t>シンセツ</t>
    </rPh>
    <rPh sb="2" eb="4">
      <t>ビョウショウ</t>
    </rPh>
    <phoneticPr fontId="9"/>
  </si>
  <si>
    <t>個人防護具</t>
    <rPh sb="0" eb="2">
      <t>コジン</t>
    </rPh>
    <rPh sb="2" eb="4">
      <t>ボウゴ</t>
    </rPh>
    <rPh sb="4" eb="5">
      <t>グ</t>
    </rPh>
    <phoneticPr fontId="9"/>
  </si>
  <si>
    <t>既設病床2</t>
    <rPh sb="0" eb="2">
      <t>キセツ</t>
    </rPh>
    <rPh sb="2" eb="4">
      <t>ビョウショウ</t>
    </rPh>
    <phoneticPr fontId="9"/>
  </si>
  <si>
    <t>新設病床2</t>
    <rPh sb="0" eb="2">
      <t>シンセツ</t>
    </rPh>
    <rPh sb="2" eb="4">
      <t>ビョウショウ</t>
    </rPh>
    <phoneticPr fontId="9"/>
  </si>
  <si>
    <t>簡易病室</t>
    <rPh sb="0" eb="2">
      <t>カンイ</t>
    </rPh>
    <rPh sb="2" eb="4">
      <t>ビョウシツ</t>
    </rPh>
    <phoneticPr fontId="9"/>
  </si>
  <si>
    <t>既設病床3</t>
    <rPh sb="0" eb="2">
      <t>キセツ</t>
    </rPh>
    <rPh sb="2" eb="4">
      <t>ビョウショウ</t>
    </rPh>
    <phoneticPr fontId="9"/>
  </si>
  <si>
    <t>新設病床3</t>
    <rPh sb="0" eb="2">
      <t>シンセツ</t>
    </rPh>
    <rPh sb="2" eb="4">
      <t>ビョウショウ</t>
    </rPh>
    <phoneticPr fontId="9"/>
  </si>
  <si>
    <t>超音波画像診断装置</t>
    <rPh sb="0" eb="3">
      <t>チョウオンパ</t>
    </rPh>
    <rPh sb="3" eb="5">
      <t>ガゾウ</t>
    </rPh>
    <rPh sb="5" eb="7">
      <t>シンダン</t>
    </rPh>
    <rPh sb="7" eb="9">
      <t>ソウチ</t>
    </rPh>
    <phoneticPr fontId="9"/>
  </si>
  <si>
    <t>既設病床4</t>
    <rPh sb="0" eb="2">
      <t>キセツ</t>
    </rPh>
    <rPh sb="2" eb="4">
      <t>ビョウショウ</t>
    </rPh>
    <phoneticPr fontId="9"/>
  </si>
  <si>
    <t>新設病床4</t>
    <rPh sb="0" eb="2">
      <t>シンセツ</t>
    </rPh>
    <rPh sb="2" eb="4">
      <t>ビョウショウ</t>
    </rPh>
    <phoneticPr fontId="9"/>
  </si>
  <si>
    <t>血液浄化装置</t>
    <rPh sb="0" eb="2">
      <t>ケツエキ</t>
    </rPh>
    <rPh sb="2" eb="4">
      <t>ジョウカ</t>
    </rPh>
    <rPh sb="4" eb="6">
      <t>ソウチ</t>
    </rPh>
    <phoneticPr fontId="9"/>
  </si>
  <si>
    <t>既設病床5</t>
    <rPh sb="0" eb="2">
      <t>キセツ</t>
    </rPh>
    <rPh sb="2" eb="4">
      <t>ビョウショウ</t>
    </rPh>
    <phoneticPr fontId="9"/>
  </si>
  <si>
    <t>新設病床5</t>
    <rPh sb="0" eb="2">
      <t>シンセツ</t>
    </rPh>
    <rPh sb="2" eb="4">
      <t>ビョウショウ</t>
    </rPh>
    <phoneticPr fontId="9"/>
  </si>
  <si>
    <t>気管支鏡</t>
    <rPh sb="0" eb="4">
      <t>キカンシキョウ</t>
    </rPh>
    <phoneticPr fontId="9"/>
  </si>
  <si>
    <t>既設病床6</t>
    <rPh sb="0" eb="2">
      <t>キセツ</t>
    </rPh>
    <rPh sb="2" eb="4">
      <t>ビョウショウ</t>
    </rPh>
    <phoneticPr fontId="9"/>
  </si>
  <si>
    <t>新設病床6</t>
    <rPh sb="0" eb="2">
      <t>シンセツ</t>
    </rPh>
    <rPh sb="2" eb="4">
      <t>ビョウショウ</t>
    </rPh>
    <phoneticPr fontId="9"/>
  </si>
  <si>
    <t>CT撮影装置等</t>
    <rPh sb="2" eb="4">
      <t>サツエイ</t>
    </rPh>
    <rPh sb="4" eb="6">
      <t>ソウチ</t>
    </rPh>
    <rPh sb="6" eb="7">
      <t>トウ</t>
    </rPh>
    <phoneticPr fontId="9"/>
  </si>
  <si>
    <t>既設病床7</t>
    <rPh sb="0" eb="2">
      <t>キセツ</t>
    </rPh>
    <rPh sb="2" eb="4">
      <t>ビョウショウ</t>
    </rPh>
    <phoneticPr fontId="9"/>
  </si>
  <si>
    <t>新設病床7</t>
    <rPh sb="0" eb="2">
      <t>シンセツ</t>
    </rPh>
    <rPh sb="2" eb="4">
      <t>ビョウショウ</t>
    </rPh>
    <phoneticPr fontId="9"/>
  </si>
  <si>
    <t>生体情報モニタ</t>
    <rPh sb="0" eb="2">
      <t>セイタイ</t>
    </rPh>
    <rPh sb="2" eb="4">
      <t>ジョウホウ</t>
    </rPh>
    <phoneticPr fontId="9"/>
  </si>
  <si>
    <t>既設病床8</t>
    <rPh sb="0" eb="2">
      <t>キセツ</t>
    </rPh>
    <rPh sb="2" eb="4">
      <t>ビョウショウ</t>
    </rPh>
    <phoneticPr fontId="9"/>
  </si>
  <si>
    <t>新設病床8</t>
    <rPh sb="0" eb="2">
      <t>シンセツ</t>
    </rPh>
    <rPh sb="2" eb="4">
      <t>ビョウショウ</t>
    </rPh>
    <phoneticPr fontId="9"/>
  </si>
  <si>
    <t>分娩監視装置</t>
    <rPh sb="0" eb="2">
      <t>ブンベン</t>
    </rPh>
    <rPh sb="2" eb="4">
      <t>カンシ</t>
    </rPh>
    <rPh sb="4" eb="6">
      <t>ソウチ</t>
    </rPh>
    <phoneticPr fontId="9"/>
  </si>
  <si>
    <t>既設病床9</t>
    <rPh sb="0" eb="2">
      <t>キセツ</t>
    </rPh>
    <rPh sb="2" eb="4">
      <t>ビョウショウ</t>
    </rPh>
    <phoneticPr fontId="9"/>
  </si>
  <si>
    <t>新設病床9</t>
    <rPh sb="0" eb="2">
      <t>シンセツ</t>
    </rPh>
    <rPh sb="2" eb="4">
      <t>ビョウショウ</t>
    </rPh>
    <phoneticPr fontId="9"/>
  </si>
  <si>
    <t>新生児モニタ</t>
    <rPh sb="0" eb="3">
      <t>シンセイジ</t>
    </rPh>
    <phoneticPr fontId="9"/>
  </si>
  <si>
    <t>既設病床10</t>
    <rPh sb="0" eb="2">
      <t>キセツ</t>
    </rPh>
    <rPh sb="2" eb="4">
      <t>ビョウショウ</t>
    </rPh>
    <phoneticPr fontId="9"/>
  </si>
  <si>
    <t>新設病床10</t>
    <rPh sb="0" eb="2">
      <t>シンセツ</t>
    </rPh>
    <rPh sb="2" eb="4">
      <t>ビョウショウ</t>
    </rPh>
    <phoneticPr fontId="9"/>
  </si>
  <si>
    <t>既設病床11</t>
    <rPh sb="0" eb="2">
      <t>キセツ</t>
    </rPh>
    <rPh sb="2" eb="4">
      <t>ビョウショウ</t>
    </rPh>
    <phoneticPr fontId="9"/>
  </si>
  <si>
    <t>新設病床11</t>
    <rPh sb="0" eb="2">
      <t>シンセツ</t>
    </rPh>
    <rPh sb="2" eb="4">
      <t>ビョウショウ</t>
    </rPh>
    <phoneticPr fontId="9"/>
  </si>
  <si>
    <t>既設病床12</t>
    <rPh sb="0" eb="2">
      <t>キセツ</t>
    </rPh>
    <rPh sb="2" eb="4">
      <t>ビョウショウ</t>
    </rPh>
    <phoneticPr fontId="9"/>
  </si>
  <si>
    <t>新設病床12</t>
    <rPh sb="0" eb="2">
      <t>シンセツ</t>
    </rPh>
    <rPh sb="2" eb="4">
      <t>ビョウショウ</t>
    </rPh>
    <phoneticPr fontId="9"/>
  </si>
  <si>
    <t>既設病床13</t>
    <rPh sb="0" eb="2">
      <t>キセツ</t>
    </rPh>
    <rPh sb="2" eb="4">
      <t>ビョウショウ</t>
    </rPh>
    <phoneticPr fontId="9"/>
  </si>
  <si>
    <t>新設病床13</t>
    <rPh sb="0" eb="2">
      <t>シンセツ</t>
    </rPh>
    <rPh sb="2" eb="4">
      <t>ビョウショウ</t>
    </rPh>
    <phoneticPr fontId="9"/>
  </si>
  <si>
    <t>既設病床14</t>
    <rPh sb="0" eb="2">
      <t>キセツ</t>
    </rPh>
    <rPh sb="2" eb="4">
      <t>ビョウショウ</t>
    </rPh>
    <phoneticPr fontId="9"/>
  </si>
  <si>
    <t>新設病床14</t>
    <rPh sb="0" eb="2">
      <t>シンセツ</t>
    </rPh>
    <rPh sb="2" eb="4">
      <t>ビョウショウ</t>
    </rPh>
    <phoneticPr fontId="9"/>
  </si>
  <si>
    <t>既設病床15</t>
    <rPh sb="0" eb="2">
      <t>キセツ</t>
    </rPh>
    <rPh sb="2" eb="4">
      <t>ビョウショウ</t>
    </rPh>
    <phoneticPr fontId="9"/>
  </si>
  <si>
    <t>新設病床15</t>
    <rPh sb="0" eb="2">
      <t>シンセツ</t>
    </rPh>
    <rPh sb="2" eb="4">
      <t>ビョウショウ</t>
    </rPh>
    <phoneticPr fontId="9"/>
  </si>
  <si>
    <t>既設病床16</t>
    <rPh sb="0" eb="2">
      <t>キセツ</t>
    </rPh>
    <rPh sb="2" eb="4">
      <t>ビョウショウ</t>
    </rPh>
    <phoneticPr fontId="9"/>
  </si>
  <si>
    <t>新設病床16</t>
    <rPh sb="0" eb="2">
      <t>シンセツ</t>
    </rPh>
    <rPh sb="2" eb="4">
      <t>ビョウショウ</t>
    </rPh>
    <phoneticPr fontId="9"/>
  </si>
  <si>
    <t>既設病床17</t>
    <rPh sb="0" eb="2">
      <t>キセツ</t>
    </rPh>
    <rPh sb="2" eb="4">
      <t>ビョウショウ</t>
    </rPh>
    <phoneticPr fontId="9"/>
  </si>
  <si>
    <t>新設病床17</t>
    <rPh sb="0" eb="2">
      <t>シンセツ</t>
    </rPh>
    <rPh sb="2" eb="4">
      <t>ビョウショウ</t>
    </rPh>
    <phoneticPr fontId="9"/>
  </si>
  <si>
    <t>既設病床18</t>
    <rPh sb="0" eb="2">
      <t>キセツ</t>
    </rPh>
    <rPh sb="2" eb="4">
      <t>ビョウショウ</t>
    </rPh>
    <phoneticPr fontId="9"/>
  </si>
  <si>
    <t>新設病床18</t>
    <rPh sb="0" eb="2">
      <t>シンセツ</t>
    </rPh>
    <rPh sb="2" eb="4">
      <t>ビョウショウ</t>
    </rPh>
    <phoneticPr fontId="9"/>
  </si>
  <si>
    <t>既設病床19</t>
    <rPh sb="0" eb="2">
      <t>キセツ</t>
    </rPh>
    <rPh sb="2" eb="4">
      <t>ビョウショウ</t>
    </rPh>
    <phoneticPr fontId="9"/>
  </si>
  <si>
    <t>新設病床19</t>
    <rPh sb="0" eb="2">
      <t>シンセツ</t>
    </rPh>
    <rPh sb="2" eb="4">
      <t>ビョウショウ</t>
    </rPh>
    <phoneticPr fontId="9"/>
  </si>
  <si>
    <t>既設病床20</t>
    <rPh sb="0" eb="2">
      <t>キセツ</t>
    </rPh>
    <rPh sb="2" eb="4">
      <t>ビョウショウ</t>
    </rPh>
    <phoneticPr fontId="9"/>
  </si>
  <si>
    <t>新設病床20</t>
    <rPh sb="0" eb="2">
      <t>シンセツ</t>
    </rPh>
    <rPh sb="2" eb="4">
      <t>ビョウショウ</t>
    </rPh>
    <phoneticPr fontId="9"/>
  </si>
  <si>
    <t>既設病床21</t>
    <rPh sb="0" eb="2">
      <t>キセツ</t>
    </rPh>
    <rPh sb="2" eb="4">
      <t>ビョウショウ</t>
    </rPh>
    <phoneticPr fontId="9"/>
  </si>
  <si>
    <t>新設病床21</t>
    <rPh sb="0" eb="2">
      <t>シンセツ</t>
    </rPh>
    <rPh sb="2" eb="4">
      <t>ビョウショウ</t>
    </rPh>
    <phoneticPr fontId="9"/>
  </si>
  <si>
    <t>既設病床22</t>
    <rPh sb="0" eb="2">
      <t>キセツ</t>
    </rPh>
    <rPh sb="2" eb="4">
      <t>ビョウショウ</t>
    </rPh>
    <phoneticPr fontId="9"/>
  </si>
  <si>
    <t>新設病床22</t>
    <rPh sb="0" eb="2">
      <t>シンセツ</t>
    </rPh>
    <rPh sb="2" eb="4">
      <t>ビョウショウ</t>
    </rPh>
    <phoneticPr fontId="9"/>
  </si>
  <si>
    <t>既設病床23</t>
    <rPh sb="0" eb="2">
      <t>キセツ</t>
    </rPh>
    <rPh sb="2" eb="4">
      <t>ビョウショウ</t>
    </rPh>
    <phoneticPr fontId="9"/>
  </si>
  <si>
    <t>新設病床23</t>
    <rPh sb="0" eb="2">
      <t>シンセツ</t>
    </rPh>
    <rPh sb="2" eb="4">
      <t>ビョウショウ</t>
    </rPh>
    <phoneticPr fontId="9"/>
  </si>
  <si>
    <t>既設病床24</t>
    <rPh sb="0" eb="2">
      <t>キセツ</t>
    </rPh>
    <rPh sb="2" eb="4">
      <t>ビョウショウ</t>
    </rPh>
    <phoneticPr fontId="9"/>
  </si>
  <si>
    <t>新設病床24</t>
    <rPh sb="0" eb="2">
      <t>シンセツ</t>
    </rPh>
    <rPh sb="2" eb="4">
      <t>ビョウショウ</t>
    </rPh>
    <phoneticPr fontId="9"/>
  </si>
  <si>
    <t>既設病床25</t>
    <rPh sb="0" eb="2">
      <t>キセツ</t>
    </rPh>
    <rPh sb="2" eb="4">
      <t>ビョウショウ</t>
    </rPh>
    <phoneticPr fontId="9"/>
  </si>
  <si>
    <t>新設病床25</t>
    <rPh sb="0" eb="2">
      <t>シンセツ</t>
    </rPh>
    <rPh sb="2" eb="4">
      <t>ビョウショウ</t>
    </rPh>
    <phoneticPr fontId="9"/>
  </si>
  <si>
    <t>既設病床26</t>
    <rPh sb="0" eb="2">
      <t>キセツ</t>
    </rPh>
    <rPh sb="2" eb="4">
      <t>ビョウショウ</t>
    </rPh>
    <phoneticPr fontId="9"/>
  </si>
  <si>
    <t>新設病床26</t>
    <rPh sb="0" eb="2">
      <t>シンセツ</t>
    </rPh>
    <rPh sb="2" eb="4">
      <t>ビョウショウ</t>
    </rPh>
    <phoneticPr fontId="9"/>
  </si>
  <si>
    <t>既設病床27</t>
    <rPh sb="0" eb="2">
      <t>キセツ</t>
    </rPh>
    <rPh sb="2" eb="4">
      <t>ビョウショウ</t>
    </rPh>
    <phoneticPr fontId="9"/>
  </si>
  <si>
    <t>新設病床27</t>
    <rPh sb="0" eb="2">
      <t>シンセツ</t>
    </rPh>
    <rPh sb="2" eb="4">
      <t>ビョウショウ</t>
    </rPh>
    <phoneticPr fontId="9"/>
  </si>
  <si>
    <t>既設病床28</t>
    <rPh sb="0" eb="2">
      <t>キセツ</t>
    </rPh>
    <rPh sb="2" eb="4">
      <t>ビョウショウ</t>
    </rPh>
    <phoneticPr fontId="9"/>
  </si>
  <si>
    <t>新設病床28</t>
    <rPh sb="0" eb="2">
      <t>シンセツ</t>
    </rPh>
    <rPh sb="2" eb="4">
      <t>ビョウショウ</t>
    </rPh>
    <phoneticPr fontId="9"/>
  </si>
  <si>
    <t>既設病床29</t>
    <rPh sb="0" eb="2">
      <t>キセツ</t>
    </rPh>
    <rPh sb="2" eb="4">
      <t>ビョウショウ</t>
    </rPh>
    <phoneticPr fontId="9"/>
  </si>
  <si>
    <t>新設病床29</t>
    <rPh sb="0" eb="2">
      <t>シンセツ</t>
    </rPh>
    <rPh sb="2" eb="4">
      <t>ビョウショウ</t>
    </rPh>
    <phoneticPr fontId="9"/>
  </si>
  <si>
    <t>既設病床30</t>
    <rPh sb="0" eb="2">
      <t>キセツ</t>
    </rPh>
    <rPh sb="2" eb="4">
      <t>ビョウショウ</t>
    </rPh>
    <phoneticPr fontId="9"/>
  </si>
  <si>
    <t>新設病床30</t>
    <rPh sb="0" eb="2">
      <t>シンセツ</t>
    </rPh>
    <rPh sb="2" eb="4">
      <t>ビョウショウ</t>
    </rPh>
    <phoneticPr fontId="9"/>
  </si>
  <si>
    <t>既設病床31</t>
    <rPh sb="0" eb="2">
      <t>キセツ</t>
    </rPh>
    <rPh sb="2" eb="4">
      <t>ビョウショウ</t>
    </rPh>
    <phoneticPr fontId="9"/>
  </si>
  <si>
    <t>新設病床31</t>
    <rPh sb="0" eb="2">
      <t>シンセツ</t>
    </rPh>
    <rPh sb="2" eb="4">
      <t>ビョウショウ</t>
    </rPh>
    <phoneticPr fontId="9"/>
  </si>
  <si>
    <t>既設病床32</t>
    <rPh sb="0" eb="2">
      <t>キセツ</t>
    </rPh>
    <rPh sb="2" eb="4">
      <t>ビョウショウ</t>
    </rPh>
    <phoneticPr fontId="9"/>
  </si>
  <si>
    <t>新設病床32</t>
    <rPh sb="0" eb="2">
      <t>シンセツ</t>
    </rPh>
    <rPh sb="2" eb="4">
      <t>ビョウショウ</t>
    </rPh>
    <phoneticPr fontId="9"/>
  </si>
  <si>
    <t>既設病床33</t>
    <rPh sb="0" eb="2">
      <t>キセツ</t>
    </rPh>
    <rPh sb="2" eb="4">
      <t>ビョウショウ</t>
    </rPh>
    <phoneticPr fontId="9"/>
  </si>
  <si>
    <t>新設病床33</t>
    <rPh sb="0" eb="2">
      <t>シンセツ</t>
    </rPh>
    <rPh sb="2" eb="4">
      <t>ビョウショウ</t>
    </rPh>
    <phoneticPr fontId="9"/>
  </si>
  <si>
    <t>既設病床34</t>
    <rPh sb="0" eb="2">
      <t>キセツ</t>
    </rPh>
    <rPh sb="2" eb="4">
      <t>ビョウショウ</t>
    </rPh>
    <phoneticPr fontId="9"/>
  </si>
  <si>
    <t>新設病床34</t>
    <rPh sb="0" eb="2">
      <t>シンセツ</t>
    </rPh>
    <rPh sb="2" eb="4">
      <t>ビョウショウ</t>
    </rPh>
    <phoneticPr fontId="9"/>
  </si>
  <si>
    <t>既設病床35</t>
    <rPh sb="0" eb="2">
      <t>キセツ</t>
    </rPh>
    <rPh sb="2" eb="4">
      <t>ビョウショウ</t>
    </rPh>
    <phoneticPr fontId="9"/>
  </si>
  <si>
    <t>新設病床35</t>
    <rPh sb="0" eb="2">
      <t>シンセツ</t>
    </rPh>
    <rPh sb="2" eb="4">
      <t>ビョウショウ</t>
    </rPh>
    <phoneticPr fontId="9"/>
  </si>
  <si>
    <t>既設病床36</t>
    <rPh sb="0" eb="2">
      <t>キセツ</t>
    </rPh>
    <rPh sb="2" eb="4">
      <t>ビョウショウ</t>
    </rPh>
    <phoneticPr fontId="9"/>
  </si>
  <si>
    <t>新設病床36</t>
    <rPh sb="0" eb="2">
      <t>シンセツ</t>
    </rPh>
    <rPh sb="2" eb="4">
      <t>ビョウショウ</t>
    </rPh>
    <phoneticPr fontId="9"/>
  </si>
  <si>
    <t>既設病床37</t>
    <rPh sb="0" eb="2">
      <t>キセツ</t>
    </rPh>
    <rPh sb="2" eb="4">
      <t>ビョウショウ</t>
    </rPh>
    <phoneticPr fontId="9"/>
  </si>
  <si>
    <t>新設病床37</t>
    <rPh sb="0" eb="2">
      <t>シンセツ</t>
    </rPh>
    <rPh sb="2" eb="4">
      <t>ビョウショウ</t>
    </rPh>
    <phoneticPr fontId="9"/>
  </si>
  <si>
    <t>既設病床38</t>
    <rPh sb="0" eb="2">
      <t>キセツ</t>
    </rPh>
    <rPh sb="2" eb="4">
      <t>ビョウショウ</t>
    </rPh>
    <phoneticPr fontId="9"/>
  </si>
  <si>
    <t>新設病床38</t>
    <rPh sb="0" eb="2">
      <t>シンセツ</t>
    </rPh>
    <rPh sb="2" eb="4">
      <t>ビョウショウ</t>
    </rPh>
    <phoneticPr fontId="9"/>
  </si>
  <si>
    <t>既設病床39</t>
    <rPh sb="0" eb="2">
      <t>キセツ</t>
    </rPh>
    <rPh sb="2" eb="4">
      <t>ビョウショウ</t>
    </rPh>
    <phoneticPr fontId="9"/>
  </si>
  <si>
    <t>新設病床39</t>
    <rPh sb="0" eb="2">
      <t>シンセツ</t>
    </rPh>
    <rPh sb="2" eb="4">
      <t>ビョウショウ</t>
    </rPh>
    <phoneticPr fontId="9"/>
  </si>
  <si>
    <t>既設病床40</t>
    <rPh sb="0" eb="2">
      <t>キセツ</t>
    </rPh>
    <rPh sb="2" eb="4">
      <t>ビョウショウ</t>
    </rPh>
    <phoneticPr fontId="9"/>
  </si>
  <si>
    <t>新設病床40</t>
    <rPh sb="0" eb="2">
      <t>シンセツ</t>
    </rPh>
    <rPh sb="2" eb="4">
      <t>ビョウショウ</t>
    </rPh>
    <phoneticPr fontId="9"/>
  </si>
  <si>
    <t>既設病床41</t>
    <rPh sb="0" eb="2">
      <t>キセツ</t>
    </rPh>
    <rPh sb="2" eb="4">
      <t>ビョウショウ</t>
    </rPh>
    <phoneticPr fontId="9"/>
  </si>
  <si>
    <t>新設病床41</t>
    <rPh sb="0" eb="2">
      <t>シンセツ</t>
    </rPh>
    <rPh sb="2" eb="4">
      <t>ビョウショウ</t>
    </rPh>
    <phoneticPr fontId="9"/>
  </si>
  <si>
    <t>既設病床42</t>
    <rPh sb="0" eb="2">
      <t>キセツ</t>
    </rPh>
    <rPh sb="2" eb="4">
      <t>ビョウショウ</t>
    </rPh>
    <phoneticPr fontId="9"/>
  </si>
  <si>
    <t>新設病床42</t>
    <rPh sb="0" eb="2">
      <t>シンセツ</t>
    </rPh>
    <rPh sb="2" eb="4">
      <t>ビョウショウ</t>
    </rPh>
    <phoneticPr fontId="9"/>
  </si>
  <si>
    <t>既設病床43</t>
    <rPh sb="0" eb="2">
      <t>キセツ</t>
    </rPh>
    <rPh sb="2" eb="4">
      <t>ビョウショウ</t>
    </rPh>
    <phoneticPr fontId="9"/>
  </si>
  <si>
    <t>新設病床43</t>
    <rPh sb="0" eb="2">
      <t>シンセツ</t>
    </rPh>
    <rPh sb="2" eb="4">
      <t>ビョウショウ</t>
    </rPh>
    <phoneticPr fontId="9"/>
  </si>
  <si>
    <t>既設病床44</t>
    <rPh sb="0" eb="2">
      <t>キセツ</t>
    </rPh>
    <rPh sb="2" eb="4">
      <t>ビョウショウ</t>
    </rPh>
    <phoneticPr fontId="9"/>
  </si>
  <si>
    <t>新設病床44</t>
    <rPh sb="0" eb="2">
      <t>シンセツ</t>
    </rPh>
    <rPh sb="2" eb="4">
      <t>ビョウショウ</t>
    </rPh>
    <phoneticPr fontId="9"/>
  </si>
  <si>
    <t>既設病床45</t>
    <rPh sb="0" eb="2">
      <t>キセツ</t>
    </rPh>
    <rPh sb="2" eb="4">
      <t>ビョウショウ</t>
    </rPh>
    <phoneticPr fontId="9"/>
  </si>
  <si>
    <t>新設病床45</t>
    <rPh sb="0" eb="2">
      <t>シンセツ</t>
    </rPh>
    <rPh sb="2" eb="4">
      <t>ビョウショウ</t>
    </rPh>
    <phoneticPr fontId="9"/>
  </si>
  <si>
    <t>既設病床46</t>
    <rPh sb="0" eb="2">
      <t>キセツ</t>
    </rPh>
    <rPh sb="2" eb="4">
      <t>ビョウショウ</t>
    </rPh>
    <phoneticPr fontId="9"/>
  </si>
  <si>
    <t>新設病床46</t>
    <rPh sb="0" eb="2">
      <t>シンセツ</t>
    </rPh>
    <rPh sb="2" eb="4">
      <t>ビョウショウ</t>
    </rPh>
    <phoneticPr fontId="9"/>
  </si>
  <si>
    <t>既設病床47</t>
    <rPh sb="0" eb="2">
      <t>キセツ</t>
    </rPh>
    <rPh sb="2" eb="4">
      <t>ビョウショウ</t>
    </rPh>
    <phoneticPr fontId="9"/>
  </si>
  <si>
    <t>新設病床47</t>
    <rPh sb="0" eb="2">
      <t>シンセツ</t>
    </rPh>
    <rPh sb="2" eb="4">
      <t>ビョウショウ</t>
    </rPh>
    <phoneticPr fontId="9"/>
  </si>
  <si>
    <t>既設病床48</t>
    <rPh sb="0" eb="2">
      <t>キセツ</t>
    </rPh>
    <rPh sb="2" eb="4">
      <t>ビョウショウ</t>
    </rPh>
    <phoneticPr fontId="9"/>
  </si>
  <si>
    <t>新設病床48</t>
    <rPh sb="0" eb="2">
      <t>シンセツ</t>
    </rPh>
    <rPh sb="2" eb="4">
      <t>ビョウショウ</t>
    </rPh>
    <phoneticPr fontId="9"/>
  </si>
  <si>
    <t>既設病床49</t>
    <rPh sb="0" eb="2">
      <t>キセツ</t>
    </rPh>
    <rPh sb="2" eb="4">
      <t>ビョウショウ</t>
    </rPh>
    <phoneticPr fontId="9"/>
  </si>
  <si>
    <t>新設病床49</t>
    <rPh sb="0" eb="2">
      <t>シンセツ</t>
    </rPh>
    <rPh sb="2" eb="4">
      <t>ビョウショウ</t>
    </rPh>
    <phoneticPr fontId="9"/>
  </si>
  <si>
    <t>既設病床50</t>
    <rPh sb="0" eb="2">
      <t>キセツ</t>
    </rPh>
    <rPh sb="2" eb="4">
      <t>ビョウショウ</t>
    </rPh>
    <phoneticPr fontId="9"/>
  </si>
  <si>
    <t>新設病床50</t>
    <rPh sb="0" eb="2">
      <t>シンセツ</t>
    </rPh>
    <rPh sb="2" eb="4">
      <t>ビョウショウ</t>
    </rPh>
    <phoneticPr fontId="9"/>
  </si>
  <si>
    <t>既設病床51</t>
    <rPh sb="0" eb="2">
      <t>キセツ</t>
    </rPh>
    <rPh sb="2" eb="4">
      <t>ビョウショウ</t>
    </rPh>
    <phoneticPr fontId="9"/>
  </si>
  <si>
    <t>新設病床51</t>
    <rPh sb="0" eb="2">
      <t>シンセツ</t>
    </rPh>
    <rPh sb="2" eb="4">
      <t>ビョウショウ</t>
    </rPh>
    <phoneticPr fontId="9"/>
  </si>
  <si>
    <t>既設病床52</t>
    <rPh sb="0" eb="2">
      <t>キセツ</t>
    </rPh>
    <rPh sb="2" eb="4">
      <t>ビョウショウ</t>
    </rPh>
    <phoneticPr fontId="9"/>
  </si>
  <si>
    <t>新設病床52</t>
    <rPh sb="0" eb="2">
      <t>シンセツ</t>
    </rPh>
    <rPh sb="2" eb="4">
      <t>ビョウショウ</t>
    </rPh>
    <phoneticPr fontId="9"/>
  </si>
  <si>
    <t>既設病床53</t>
    <rPh sb="0" eb="2">
      <t>キセツ</t>
    </rPh>
    <rPh sb="2" eb="4">
      <t>ビョウショウ</t>
    </rPh>
    <phoneticPr fontId="9"/>
  </si>
  <si>
    <t>新設病床53</t>
    <rPh sb="0" eb="2">
      <t>シンセツ</t>
    </rPh>
    <rPh sb="2" eb="4">
      <t>ビョウショウ</t>
    </rPh>
    <phoneticPr fontId="9"/>
  </si>
  <si>
    <t>既設病床54</t>
    <rPh sb="0" eb="2">
      <t>キセツ</t>
    </rPh>
    <rPh sb="2" eb="4">
      <t>ビョウショウ</t>
    </rPh>
    <phoneticPr fontId="9"/>
  </si>
  <si>
    <t>新設病床54</t>
    <rPh sb="0" eb="2">
      <t>シンセツ</t>
    </rPh>
    <rPh sb="2" eb="4">
      <t>ビョウショウ</t>
    </rPh>
    <phoneticPr fontId="9"/>
  </si>
  <si>
    <t>既設病床55</t>
    <rPh sb="0" eb="2">
      <t>キセツ</t>
    </rPh>
    <rPh sb="2" eb="4">
      <t>ビョウショウ</t>
    </rPh>
    <phoneticPr fontId="9"/>
  </si>
  <si>
    <t>新設病床55</t>
    <rPh sb="0" eb="2">
      <t>シンセツ</t>
    </rPh>
    <rPh sb="2" eb="4">
      <t>ビョウショウ</t>
    </rPh>
    <phoneticPr fontId="9"/>
  </si>
  <si>
    <t>既設病床56</t>
    <rPh sb="0" eb="2">
      <t>キセツ</t>
    </rPh>
    <rPh sb="2" eb="4">
      <t>ビョウショウ</t>
    </rPh>
    <phoneticPr fontId="9"/>
  </si>
  <si>
    <t>新設病床56</t>
    <rPh sb="0" eb="2">
      <t>シンセツ</t>
    </rPh>
    <rPh sb="2" eb="4">
      <t>ビョウショウ</t>
    </rPh>
    <phoneticPr fontId="9"/>
  </si>
  <si>
    <t>既設病床57</t>
    <rPh sb="0" eb="2">
      <t>キセツ</t>
    </rPh>
    <rPh sb="2" eb="4">
      <t>ビョウショウ</t>
    </rPh>
    <phoneticPr fontId="9"/>
  </si>
  <si>
    <t>新設病床57</t>
    <rPh sb="0" eb="2">
      <t>シンセツ</t>
    </rPh>
    <rPh sb="2" eb="4">
      <t>ビョウショウ</t>
    </rPh>
    <phoneticPr fontId="9"/>
  </si>
  <si>
    <t>既設病床58</t>
    <rPh sb="0" eb="2">
      <t>キセツ</t>
    </rPh>
    <rPh sb="2" eb="4">
      <t>ビョウショウ</t>
    </rPh>
    <phoneticPr fontId="9"/>
  </si>
  <si>
    <t>新設病床58</t>
    <rPh sb="0" eb="2">
      <t>シンセツ</t>
    </rPh>
    <rPh sb="2" eb="4">
      <t>ビョウショウ</t>
    </rPh>
    <phoneticPr fontId="9"/>
  </si>
  <si>
    <t>既設病床59</t>
    <rPh sb="0" eb="2">
      <t>キセツ</t>
    </rPh>
    <rPh sb="2" eb="4">
      <t>ビョウショウ</t>
    </rPh>
    <phoneticPr fontId="9"/>
  </si>
  <si>
    <t>新設病床59</t>
    <rPh sb="0" eb="2">
      <t>シンセツ</t>
    </rPh>
    <rPh sb="2" eb="4">
      <t>ビョウショウ</t>
    </rPh>
    <phoneticPr fontId="9"/>
  </si>
  <si>
    <t>既設病床60</t>
    <rPh sb="0" eb="2">
      <t>キセツ</t>
    </rPh>
    <rPh sb="2" eb="4">
      <t>ビョウショウ</t>
    </rPh>
    <phoneticPr fontId="9"/>
  </si>
  <si>
    <t>新設病床60</t>
    <rPh sb="0" eb="2">
      <t>シンセツ</t>
    </rPh>
    <rPh sb="2" eb="4">
      <t>ビョウショウ</t>
    </rPh>
    <phoneticPr fontId="9"/>
  </si>
  <si>
    <t>既設病床61</t>
    <rPh sb="0" eb="2">
      <t>キセツ</t>
    </rPh>
    <rPh sb="2" eb="4">
      <t>ビョウショウ</t>
    </rPh>
    <phoneticPr fontId="9"/>
  </si>
  <si>
    <t>新設病床61</t>
    <rPh sb="0" eb="2">
      <t>シンセツ</t>
    </rPh>
    <rPh sb="2" eb="4">
      <t>ビョウショウ</t>
    </rPh>
    <phoneticPr fontId="9"/>
  </si>
  <si>
    <t>既設病床62</t>
    <rPh sb="0" eb="2">
      <t>キセツ</t>
    </rPh>
    <rPh sb="2" eb="4">
      <t>ビョウショウ</t>
    </rPh>
    <phoneticPr fontId="9"/>
  </si>
  <si>
    <t>新設病床62</t>
    <rPh sb="0" eb="2">
      <t>シンセツ</t>
    </rPh>
    <rPh sb="2" eb="4">
      <t>ビョウショウ</t>
    </rPh>
    <phoneticPr fontId="9"/>
  </si>
  <si>
    <t>既設病床63</t>
    <rPh sb="0" eb="2">
      <t>キセツ</t>
    </rPh>
    <rPh sb="2" eb="4">
      <t>ビョウショウ</t>
    </rPh>
    <phoneticPr fontId="9"/>
  </si>
  <si>
    <t>新設病床63</t>
    <rPh sb="0" eb="2">
      <t>シンセツ</t>
    </rPh>
    <rPh sb="2" eb="4">
      <t>ビョウショウ</t>
    </rPh>
    <phoneticPr fontId="9"/>
  </si>
  <si>
    <t>既設病床64</t>
    <rPh sb="0" eb="2">
      <t>キセツ</t>
    </rPh>
    <rPh sb="2" eb="4">
      <t>ビョウショウ</t>
    </rPh>
    <phoneticPr fontId="9"/>
  </si>
  <si>
    <t>新設病床64</t>
    <rPh sb="0" eb="2">
      <t>シンセツ</t>
    </rPh>
    <rPh sb="2" eb="4">
      <t>ビョウショウ</t>
    </rPh>
    <phoneticPr fontId="9"/>
  </si>
  <si>
    <t>既設病床65</t>
    <rPh sb="0" eb="2">
      <t>キセツ</t>
    </rPh>
    <rPh sb="2" eb="4">
      <t>ビョウショウ</t>
    </rPh>
    <phoneticPr fontId="9"/>
  </si>
  <si>
    <t>新設病床65</t>
    <rPh sb="0" eb="2">
      <t>シンセツ</t>
    </rPh>
    <rPh sb="2" eb="4">
      <t>ビョウショウ</t>
    </rPh>
    <phoneticPr fontId="9"/>
  </si>
  <si>
    <t>既設病床66</t>
    <rPh sb="0" eb="2">
      <t>キセツ</t>
    </rPh>
    <rPh sb="2" eb="4">
      <t>ビョウショウ</t>
    </rPh>
    <phoneticPr fontId="9"/>
  </si>
  <si>
    <t>新設病床66</t>
    <rPh sb="0" eb="2">
      <t>シンセツ</t>
    </rPh>
    <rPh sb="2" eb="4">
      <t>ビョウショウ</t>
    </rPh>
    <phoneticPr fontId="9"/>
  </si>
  <si>
    <t>既設病床67</t>
    <rPh sb="0" eb="2">
      <t>キセツ</t>
    </rPh>
    <rPh sb="2" eb="4">
      <t>ビョウショウ</t>
    </rPh>
    <phoneticPr fontId="9"/>
  </si>
  <si>
    <t>新設病床67</t>
    <rPh sb="0" eb="2">
      <t>シンセツ</t>
    </rPh>
    <rPh sb="2" eb="4">
      <t>ビョウショウ</t>
    </rPh>
    <phoneticPr fontId="9"/>
  </si>
  <si>
    <t>既設病床68</t>
    <rPh sb="0" eb="2">
      <t>キセツ</t>
    </rPh>
    <rPh sb="2" eb="4">
      <t>ビョウショウ</t>
    </rPh>
    <phoneticPr fontId="9"/>
  </si>
  <si>
    <t>新設病床68</t>
    <rPh sb="0" eb="2">
      <t>シンセツ</t>
    </rPh>
    <rPh sb="2" eb="4">
      <t>ビョウショウ</t>
    </rPh>
    <phoneticPr fontId="9"/>
  </si>
  <si>
    <t>既設病床69</t>
    <rPh sb="0" eb="2">
      <t>キセツ</t>
    </rPh>
    <rPh sb="2" eb="4">
      <t>ビョウショウ</t>
    </rPh>
    <phoneticPr fontId="9"/>
  </si>
  <si>
    <t>新設病床69</t>
    <rPh sb="0" eb="2">
      <t>シンセツ</t>
    </rPh>
    <rPh sb="2" eb="4">
      <t>ビョウショウ</t>
    </rPh>
    <phoneticPr fontId="9"/>
  </si>
  <si>
    <t>既設病床70</t>
    <rPh sb="0" eb="2">
      <t>キセツ</t>
    </rPh>
    <rPh sb="2" eb="4">
      <t>ビョウショウ</t>
    </rPh>
    <phoneticPr fontId="9"/>
  </si>
  <si>
    <t>新設病床70</t>
    <rPh sb="0" eb="2">
      <t>シンセツ</t>
    </rPh>
    <rPh sb="2" eb="4">
      <t>ビョウショウ</t>
    </rPh>
    <phoneticPr fontId="9"/>
  </si>
  <si>
    <t>既設病床71</t>
    <rPh sb="0" eb="2">
      <t>キセツ</t>
    </rPh>
    <rPh sb="2" eb="4">
      <t>ビョウショウ</t>
    </rPh>
    <phoneticPr fontId="9"/>
  </si>
  <si>
    <t>新設病床71</t>
    <rPh sb="0" eb="2">
      <t>シンセツ</t>
    </rPh>
    <rPh sb="2" eb="4">
      <t>ビョウショウ</t>
    </rPh>
    <phoneticPr fontId="9"/>
  </si>
  <si>
    <t>既設病床72</t>
    <rPh sb="0" eb="2">
      <t>キセツ</t>
    </rPh>
    <rPh sb="2" eb="4">
      <t>ビョウショウ</t>
    </rPh>
    <phoneticPr fontId="9"/>
  </si>
  <si>
    <t>新設病床72</t>
    <rPh sb="0" eb="2">
      <t>シンセツ</t>
    </rPh>
    <rPh sb="2" eb="4">
      <t>ビョウショウ</t>
    </rPh>
    <phoneticPr fontId="9"/>
  </si>
  <si>
    <t>既設病床73</t>
    <rPh sb="0" eb="2">
      <t>キセツ</t>
    </rPh>
    <rPh sb="2" eb="4">
      <t>ビョウショウ</t>
    </rPh>
    <phoneticPr fontId="9"/>
  </si>
  <si>
    <t>新設病床73</t>
    <rPh sb="0" eb="2">
      <t>シンセツ</t>
    </rPh>
    <rPh sb="2" eb="4">
      <t>ビョウショウ</t>
    </rPh>
    <phoneticPr fontId="9"/>
  </si>
  <si>
    <t>既設病床74</t>
    <rPh sb="0" eb="2">
      <t>キセツ</t>
    </rPh>
    <rPh sb="2" eb="4">
      <t>ビョウショウ</t>
    </rPh>
    <phoneticPr fontId="9"/>
  </si>
  <si>
    <t>新設病床74</t>
    <rPh sb="0" eb="2">
      <t>シンセツ</t>
    </rPh>
    <rPh sb="2" eb="4">
      <t>ビョウショウ</t>
    </rPh>
    <phoneticPr fontId="9"/>
  </si>
  <si>
    <t>既設病床75</t>
    <rPh sb="0" eb="2">
      <t>キセツ</t>
    </rPh>
    <rPh sb="2" eb="4">
      <t>ビョウショウ</t>
    </rPh>
    <phoneticPr fontId="9"/>
  </si>
  <si>
    <t>新設病床75</t>
    <rPh sb="0" eb="2">
      <t>シンセツ</t>
    </rPh>
    <rPh sb="2" eb="4">
      <t>ビョウショウ</t>
    </rPh>
    <phoneticPr fontId="9"/>
  </si>
  <si>
    <t>既設病床76</t>
    <rPh sb="0" eb="2">
      <t>キセツ</t>
    </rPh>
    <rPh sb="2" eb="4">
      <t>ビョウショウ</t>
    </rPh>
    <phoneticPr fontId="9"/>
  </si>
  <si>
    <t>新設病床76</t>
    <rPh sb="0" eb="2">
      <t>シンセツ</t>
    </rPh>
    <rPh sb="2" eb="4">
      <t>ビョウショウ</t>
    </rPh>
    <phoneticPr fontId="9"/>
  </si>
  <si>
    <t>既設病床77</t>
    <rPh sb="0" eb="2">
      <t>キセツ</t>
    </rPh>
    <rPh sb="2" eb="4">
      <t>ビョウショウ</t>
    </rPh>
    <phoneticPr fontId="9"/>
  </si>
  <si>
    <t>新設病床77</t>
    <rPh sb="0" eb="2">
      <t>シンセツ</t>
    </rPh>
    <rPh sb="2" eb="4">
      <t>ビョウショウ</t>
    </rPh>
    <phoneticPr fontId="9"/>
  </si>
  <si>
    <t>既設病床78</t>
    <rPh sb="0" eb="2">
      <t>キセツ</t>
    </rPh>
    <rPh sb="2" eb="4">
      <t>ビョウショウ</t>
    </rPh>
    <phoneticPr fontId="9"/>
  </si>
  <si>
    <t>新設病床78</t>
    <rPh sb="0" eb="2">
      <t>シンセツ</t>
    </rPh>
    <rPh sb="2" eb="4">
      <t>ビョウショウ</t>
    </rPh>
    <phoneticPr fontId="9"/>
  </si>
  <si>
    <t>既設病床79</t>
    <rPh sb="0" eb="2">
      <t>キセツ</t>
    </rPh>
    <rPh sb="2" eb="4">
      <t>ビョウショウ</t>
    </rPh>
    <phoneticPr fontId="9"/>
  </si>
  <si>
    <t>新設病床79</t>
    <rPh sb="0" eb="2">
      <t>シンセツ</t>
    </rPh>
    <rPh sb="2" eb="4">
      <t>ビョウショウ</t>
    </rPh>
    <phoneticPr fontId="9"/>
  </si>
  <si>
    <t>既設病床80</t>
    <rPh sb="0" eb="2">
      <t>キセツ</t>
    </rPh>
    <rPh sb="2" eb="4">
      <t>ビョウショウ</t>
    </rPh>
    <phoneticPr fontId="9"/>
  </si>
  <si>
    <t>新設病床80</t>
    <rPh sb="0" eb="2">
      <t>シンセツ</t>
    </rPh>
    <rPh sb="2" eb="4">
      <t>ビョウショウ</t>
    </rPh>
    <phoneticPr fontId="9"/>
  </si>
  <si>
    <t>既設病床81</t>
    <rPh sb="0" eb="2">
      <t>キセツ</t>
    </rPh>
    <rPh sb="2" eb="4">
      <t>ビョウショウ</t>
    </rPh>
    <phoneticPr fontId="9"/>
  </si>
  <si>
    <t>新設病床81</t>
    <rPh sb="0" eb="2">
      <t>シンセツ</t>
    </rPh>
    <rPh sb="2" eb="4">
      <t>ビョウショウ</t>
    </rPh>
    <phoneticPr fontId="9"/>
  </si>
  <si>
    <t>既設病床82</t>
    <rPh sb="0" eb="2">
      <t>キセツ</t>
    </rPh>
    <rPh sb="2" eb="4">
      <t>ビョウショウ</t>
    </rPh>
    <phoneticPr fontId="9"/>
  </si>
  <si>
    <t>新設病床82</t>
    <rPh sb="0" eb="2">
      <t>シンセツ</t>
    </rPh>
    <rPh sb="2" eb="4">
      <t>ビョウショウ</t>
    </rPh>
    <phoneticPr fontId="9"/>
  </si>
  <si>
    <t>既設病床83</t>
    <rPh sb="0" eb="2">
      <t>キセツ</t>
    </rPh>
    <rPh sb="2" eb="4">
      <t>ビョウショウ</t>
    </rPh>
    <phoneticPr fontId="9"/>
  </si>
  <si>
    <t>新設病床83</t>
    <rPh sb="0" eb="2">
      <t>シンセツ</t>
    </rPh>
    <rPh sb="2" eb="4">
      <t>ビョウショウ</t>
    </rPh>
    <phoneticPr fontId="9"/>
  </si>
  <si>
    <t>既設病床84</t>
    <rPh sb="0" eb="2">
      <t>キセツ</t>
    </rPh>
    <rPh sb="2" eb="4">
      <t>ビョウショウ</t>
    </rPh>
    <phoneticPr fontId="9"/>
  </si>
  <si>
    <t>新設病床84</t>
    <rPh sb="0" eb="2">
      <t>シンセツ</t>
    </rPh>
    <rPh sb="2" eb="4">
      <t>ビョウショウ</t>
    </rPh>
    <phoneticPr fontId="9"/>
  </si>
  <si>
    <t>既設病床85</t>
    <rPh sb="0" eb="2">
      <t>キセツ</t>
    </rPh>
    <rPh sb="2" eb="4">
      <t>ビョウショウ</t>
    </rPh>
    <phoneticPr fontId="9"/>
  </si>
  <si>
    <t>新設病床85</t>
    <rPh sb="0" eb="2">
      <t>シンセツ</t>
    </rPh>
    <rPh sb="2" eb="4">
      <t>ビョウショウ</t>
    </rPh>
    <phoneticPr fontId="9"/>
  </si>
  <si>
    <t>既設病床86</t>
    <rPh sb="0" eb="2">
      <t>キセツ</t>
    </rPh>
    <rPh sb="2" eb="4">
      <t>ビョウショウ</t>
    </rPh>
    <phoneticPr fontId="9"/>
  </si>
  <si>
    <t>新設病床86</t>
    <rPh sb="0" eb="2">
      <t>シンセツ</t>
    </rPh>
    <rPh sb="2" eb="4">
      <t>ビョウショウ</t>
    </rPh>
    <phoneticPr fontId="9"/>
  </si>
  <si>
    <t>既設病床87</t>
    <rPh sb="0" eb="2">
      <t>キセツ</t>
    </rPh>
    <rPh sb="2" eb="4">
      <t>ビョウショウ</t>
    </rPh>
    <phoneticPr fontId="9"/>
  </si>
  <si>
    <t>新設病床87</t>
    <rPh sb="0" eb="2">
      <t>シンセツ</t>
    </rPh>
    <rPh sb="2" eb="4">
      <t>ビョウショウ</t>
    </rPh>
    <phoneticPr fontId="9"/>
  </si>
  <si>
    <t>既設病床88</t>
    <rPh sb="0" eb="2">
      <t>キセツ</t>
    </rPh>
    <rPh sb="2" eb="4">
      <t>ビョウショウ</t>
    </rPh>
    <phoneticPr fontId="9"/>
  </si>
  <si>
    <t>新設病床88</t>
    <rPh sb="0" eb="2">
      <t>シンセツ</t>
    </rPh>
    <rPh sb="2" eb="4">
      <t>ビョウショウ</t>
    </rPh>
    <phoneticPr fontId="9"/>
  </si>
  <si>
    <t>既設病床89</t>
    <rPh sb="0" eb="2">
      <t>キセツ</t>
    </rPh>
    <rPh sb="2" eb="4">
      <t>ビョウショウ</t>
    </rPh>
    <phoneticPr fontId="9"/>
  </si>
  <si>
    <t>新設病床89</t>
    <rPh sb="0" eb="2">
      <t>シンセツ</t>
    </rPh>
    <rPh sb="2" eb="4">
      <t>ビョウショウ</t>
    </rPh>
    <phoneticPr fontId="9"/>
  </si>
  <si>
    <t>既設病床90</t>
    <rPh sb="0" eb="2">
      <t>キセツ</t>
    </rPh>
    <rPh sb="2" eb="4">
      <t>ビョウショウ</t>
    </rPh>
    <phoneticPr fontId="9"/>
  </si>
  <si>
    <t>新設病床90</t>
    <rPh sb="0" eb="2">
      <t>シンセツ</t>
    </rPh>
    <rPh sb="2" eb="4">
      <t>ビョウショウ</t>
    </rPh>
    <phoneticPr fontId="9"/>
  </si>
  <si>
    <t>既設病床91</t>
    <rPh sb="0" eb="2">
      <t>キセツ</t>
    </rPh>
    <rPh sb="2" eb="4">
      <t>ビョウショウ</t>
    </rPh>
    <phoneticPr fontId="9"/>
  </si>
  <si>
    <t>新設病床91</t>
    <rPh sb="0" eb="2">
      <t>シンセツ</t>
    </rPh>
    <rPh sb="2" eb="4">
      <t>ビョウショウ</t>
    </rPh>
    <phoneticPr fontId="9"/>
  </si>
  <si>
    <t>既設病床92</t>
    <rPh sb="0" eb="2">
      <t>キセツ</t>
    </rPh>
    <rPh sb="2" eb="4">
      <t>ビョウショウ</t>
    </rPh>
    <phoneticPr fontId="9"/>
  </si>
  <si>
    <t>新設病床92</t>
    <rPh sb="0" eb="2">
      <t>シンセツ</t>
    </rPh>
    <rPh sb="2" eb="4">
      <t>ビョウショウ</t>
    </rPh>
    <phoneticPr fontId="9"/>
  </si>
  <si>
    <t>既設病床93</t>
    <rPh sb="0" eb="2">
      <t>キセツ</t>
    </rPh>
    <rPh sb="2" eb="4">
      <t>ビョウショウ</t>
    </rPh>
    <phoneticPr fontId="9"/>
  </si>
  <si>
    <t>新設病床93</t>
    <rPh sb="0" eb="2">
      <t>シンセツ</t>
    </rPh>
    <rPh sb="2" eb="4">
      <t>ビョウショウ</t>
    </rPh>
    <phoneticPr fontId="9"/>
  </si>
  <si>
    <t>既設病床94</t>
    <rPh sb="0" eb="2">
      <t>キセツ</t>
    </rPh>
    <rPh sb="2" eb="4">
      <t>ビョウショウ</t>
    </rPh>
    <phoneticPr fontId="9"/>
  </si>
  <si>
    <t>新設病床94</t>
    <rPh sb="0" eb="2">
      <t>シンセツ</t>
    </rPh>
    <rPh sb="2" eb="4">
      <t>ビョウショウ</t>
    </rPh>
    <phoneticPr fontId="9"/>
  </si>
  <si>
    <t>既設病床95</t>
    <rPh sb="0" eb="2">
      <t>キセツ</t>
    </rPh>
    <rPh sb="2" eb="4">
      <t>ビョウショウ</t>
    </rPh>
    <phoneticPr fontId="9"/>
  </si>
  <si>
    <t>新設病床95</t>
    <rPh sb="0" eb="2">
      <t>シンセツ</t>
    </rPh>
    <rPh sb="2" eb="4">
      <t>ビョウショウ</t>
    </rPh>
    <phoneticPr fontId="9"/>
  </si>
  <si>
    <t>既設病床96</t>
    <rPh sb="0" eb="2">
      <t>キセツ</t>
    </rPh>
    <rPh sb="2" eb="4">
      <t>ビョウショウ</t>
    </rPh>
    <phoneticPr fontId="9"/>
  </si>
  <si>
    <t>新設病床96</t>
    <rPh sb="0" eb="2">
      <t>シンセツ</t>
    </rPh>
    <rPh sb="2" eb="4">
      <t>ビョウショウ</t>
    </rPh>
    <phoneticPr fontId="9"/>
  </si>
  <si>
    <t>既設病床97</t>
    <rPh sb="0" eb="2">
      <t>キセツ</t>
    </rPh>
    <rPh sb="2" eb="4">
      <t>ビョウショウ</t>
    </rPh>
    <phoneticPr fontId="9"/>
  </si>
  <si>
    <t>新設病床97</t>
    <rPh sb="0" eb="2">
      <t>シンセツ</t>
    </rPh>
    <rPh sb="2" eb="4">
      <t>ビョウショウ</t>
    </rPh>
    <phoneticPr fontId="9"/>
  </si>
  <si>
    <t>既設病床98</t>
    <rPh sb="0" eb="2">
      <t>キセツ</t>
    </rPh>
    <rPh sb="2" eb="4">
      <t>ビョウショウ</t>
    </rPh>
    <phoneticPr fontId="9"/>
  </si>
  <si>
    <t>新設病床98</t>
    <rPh sb="0" eb="2">
      <t>シンセツ</t>
    </rPh>
    <rPh sb="2" eb="4">
      <t>ビョウショウ</t>
    </rPh>
    <phoneticPr fontId="9"/>
  </si>
  <si>
    <t>既設病床99</t>
    <rPh sb="0" eb="2">
      <t>キセツ</t>
    </rPh>
    <rPh sb="2" eb="4">
      <t>ビョウショウ</t>
    </rPh>
    <phoneticPr fontId="9"/>
  </si>
  <si>
    <t>新設病床99</t>
    <rPh sb="0" eb="2">
      <t>シンセツ</t>
    </rPh>
    <rPh sb="2" eb="4">
      <t>ビョウショウ</t>
    </rPh>
    <phoneticPr fontId="9"/>
  </si>
  <si>
    <t>既設病床100</t>
    <rPh sb="0" eb="2">
      <t>キセツ</t>
    </rPh>
    <rPh sb="2" eb="4">
      <t>ビョウショウ</t>
    </rPh>
    <phoneticPr fontId="9"/>
  </si>
  <si>
    <t>新設病床100</t>
    <rPh sb="0" eb="2">
      <t>シンセツ</t>
    </rPh>
    <rPh sb="2" eb="4">
      <t>ビョウショウ</t>
    </rPh>
    <phoneticPr fontId="9"/>
  </si>
  <si>
    <t>既設病床101</t>
    <rPh sb="0" eb="2">
      <t>キセツ</t>
    </rPh>
    <rPh sb="2" eb="4">
      <t>ビョウショウ</t>
    </rPh>
    <phoneticPr fontId="9"/>
  </si>
  <si>
    <t>新設病床101</t>
    <rPh sb="0" eb="2">
      <t>シンセツ</t>
    </rPh>
    <rPh sb="2" eb="4">
      <t>ビョウショウ</t>
    </rPh>
    <phoneticPr fontId="9"/>
  </si>
  <si>
    <t>既設病床102</t>
    <rPh sb="0" eb="2">
      <t>キセツ</t>
    </rPh>
    <rPh sb="2" eb="4">
      <t>ビョウショウ</t>
    </rPh>
    <phoneticPr fontId="9"/>
  </si>
  <si>
    <t>新設病床102</t>
    <rPh sb="0" eb="2">
      <t>シンセツ</t>
    </rPh>
    <rPh sb="2" eb="4">
      <t>ビョウショウ</t>
    </rPh>
    <phoneticPr fontId="9"/>
  </si>
  <si>
    <t>既設病床103</t>
    <rPh sb="0" eb="2">
      <t>キセツ</t>
    </rPh>
    <rPh sb="2" eb="4">
      <t>ビョウショウ</t>
    </rPh>
    <phoneticPr fontId="9"/>
  </si>
  <si>
    <t>新設病床103</t>
    <rPh sb="0" eb="2">
      <t>シンセツ</t>
    </rPh>
    <rPh sb="2" eb="4">
      <t>ビョウショウ</t>
    </rPh>
    <phoneticPr fontId="9"/>
  </si>
  <si>
    <t>既設病床104</t>
    <rPh sb="0" eb="2">
      <t>キセツ</t>
    </rPh>
    <rPh sb="2" eb="4">
      <t>ビョウショウ</t>
    </rPh>
    <phoneticPr fontId="9"/>
  </si>
  <si>
    <t>新設病床104</t>
    <rPh sb="0" eb="2">
      <t>シンセツ</t>
    </rPh>
    <rPh sb="2" eb="4">
      <t>ビョウショウ</t>
    </rPh>
    <phoneticPr fontId="9"/>
  </si>
  <si>
    <t>既設病床105</t>
    <rPh sb="0" eb="2">
      <t>キセツ</t>
    </rPh>
    <rPh sb="2" eb="4">
      <t>ビョウショウ</t>
    </rPh>
    <phoneticPr fontId="9"/>
  </si>
  <si>
    <t>新設病床105</t>
    <rPh sb="0" eb="2">
      <t>シンセツ</t>
    </rPh>
    <rPh sb="2" eb="4">
      <t>ビョウショウ</t>
    </rPh>
    <phoneticPr fontId="9"/>
  </si>
  <si>
    <t>既設病床106</t>
    <rPh sb="0" eb="2">
      <t>キセツ</t>
    </rPh>
    <rPh sb="2" eb="4">
      <t>ビョウショウ</t>
    </rPh>
    <phoneticPr fontId="9"/>
  </si>
  <si>
    <t>新設病床106</t>
    <rPh sb="0" eb="2">
      <t>シンセツ</t>
    </rPh>
    <rPh sb="2" eb="4">
      <t>ビョウショウ</t>
    </rPh>
    <phoneticPr fontId="9"/>
  </si>
  <si>
    <t>既設病床107</t>
    <rPh sb="0" eb="2">
      <t>キセツ</t>
    </rPh>
    <rPh sb="2" eb="4">
      <t>ビョウショウ</t>
    </rPh>
    <phoneticPr fontId="9"/>
  </si>
  <si>
    <t>新設病床107</t>
    <rPh sb="0" eb="2">
      <t>シンセツ</t>
    </rPh>
    <rPh sb="2" eb="4">
      <t>ビョウショウ</t>
    </rPh>
    <phoneticPr fontId="9"/>
  </si>
  <si>
    <t>既設病床108</t>
    <rPh sb="0" eb="2">
      <t>キセツ</t>
    </rPh>
    <rPh sb="2" eb="4">
      <t>ビョウショウ</t>
    </rPh>
    <phoneticPr fontId="9"/>
  </si>
  <si>
    <t>新設病床108</t>
    <rPh sb="0" eb="2">
      <t>シンセツ</t>
    </rPh>
    <rPh sb="2" eb="4">
      <t>ビョウショウ</t>
    </rPh>
    <phoneticPr fontId="9"/>
  </si>
  <si>
    <t>既設病床109</t>
    <rPh sb="0" eb="2">
      <t>キセツ</t>
    </rPh>
    <rPh sb="2" eb="4">
      <t>ビョウショウ</t>
    </rPh>
    <phoneticPr fontId="9"/>
  </si>
  <si>
    <t>新設病床109</t>
    <rPh sb="0" eb="2">
      <t>シンセツ</t>
    </rPh>
    <rPh sb="2" eb="4">
      <t>ビョウショウ</t>
    </rPh>
    <phoneticPr fontId="9"/>
  </si>
  <si>
    <t>既設病床110</t>
    <rPh sb="0" eb="2">
      <t>キセツ</t>
    </rPh>
    <rPh sb="2" eb="4">
      <t>ビョウショウ</t>
    </rPh>
    <phoneticPr fontId="9"/>
  </si>
  <si>
    <t>新設病床110</t>
    <rPh sb="0" eb="2">
      <t>シンセツ</t>
    </rPh>
    <rPh sb="2" eb="4">
      <t>ビョウショウ</t>
    </rPh>
    <phoneticPr fontId="9"/>
  </si>
  <si>
    <t>既設病床111</t>
    <rPh sb="0" eb="2">
      <t>キセツ</t>
    </rPh>
    <rPh sb="2" eb="4">
      <t>ビョウショウ</t>
    </rPh>
    <phoneticPr fontId="9"/>
  </si>
  <si>
    <t>新設病床111</t>
    <rPh sb="0" eb="2">
      <t>シンセツ</t>
    </rPh>
    <rPh sb="2" eb="4">
      <t>ビョウショウ</t>
    </rPh>
    <phoneticPr fontId="9"/>
  </si>
  <si>
    <t>既設病床112</t>
    <rPh sb="0" eb="2">
      <t>キセツ</t>
    </rPh>
    <rPh sb="2" eb="4">
      <t>ビョウショウ</t>
    </rPh>
    <phoneticPr fontId="9"/>
  </si>
  <si>
    <t>新設病床112</t>
    <rPh sb="0" eb="2">
      <t>シンセツ</t>
    </rPh>
    <rPh sb="2" eb="4">
      <t>ビョウショウ</t>
    </rPh>
    <phoneticPr fontId="9"/>
  </si>
  <si>
    <t>既設病床113</t>
    <rPh sb="0" eb="2">
      <t>キセツ</t>
    </rPh>
    <rPh sb="2" eb="4">
      <t>ビョウショウ</t>
    </rPh>
    <phoneticPr fontId="9"/>
  </si>
  <si>
    <t>新設病床113</t>
    <rPh sb="0" eb="2">
      <t>シンセツ</t>
    </rPh>
    <rPh sb="2" eb="4">
      <t>ビョウショウ</t>
    </rPh>
    <phoneticPr fontId="9"/>
  </si>
  <si>
    <t>既設病床114</t>
    <rPh sb="0" eb="2">
      <t>キセツ</t>
    </rPh>
    <rPh sb="2" eb="4">
      <t>ビョウショウ</t>
    </rPh>
    <phoneticPr fontId="9"/>
  </si>
  <si>
    <t>新設病床114</t>
    <rPh sb="0" eb="2">
      <t>シンセツ</t>
    </rPh>
    <rPh sb="2" eb="4">
      <t>ビョウショウ</t>
    </rPh>
    <phoneticPr fontId="9"/>
  </si>
  <si>
    <t>既設病床115</t>
    <rPh sb="0" eb="2">
      <t>キセツ</t>
    </rPh>
    <rPh sb="2" eb="4">
      <t>ビョウショウ</t>
    </rPh>
    <phoneticPr fontId="9"/>
  </si>
  <si>
    <t>新設病床115</t>
    <rPh sb="0" eb="2">
      <t>シンセツ</t>
    </rPh>
    <rPh sb="2" eb="4">
      <t>ビョウショウ</t>
    </rPh>
    <phoneticPr fontId="9"/>
  </si>
  <si>
    <t>既設病床116</t>
    <rPh sb="0" eb="2">
      <t>キセツ</t>
    </rPh>
    <rPh sb="2" eb="4">
      <t>ビョウショウ</t>
    </rPh>
    <phoneticPr fontId="9"/>
  </si>
  <si>
    <t>新設病床116</t>
    <rPh sb="0" eb="2">
      <t>シンセツ</t>
    </rPh>
    <rPh sb="2" eb="4">
      <t>ビョウショウ</t>
    </rPh>
    <phoneticPr fontId="9"/>
  </si>
  <si>
    <t>既設病床117</t>
    <rPh sb="0" eb="2">
      <t>キセツ</t>
    </rPh>
    <rPh sb="2" eb="4">
      <t>ビョウショウ</t>
    </rPh>
    <phoneticPr fontId="9"/>
  </si>
  <si>
    <t>新設病床117</t>
    <rPh sb="0" eb="2">
      <t>シンセツ</t>
    </rPh>
    <rPh sb="2" eb="4">
      <t>ビョウショウ</t>
    </rPh>
    <phoneticPr fontId="9"/>
  </si>
  <si>
    <t>既設病床118</t>
    <rPh sb="0" eb="2">
      <t>キセツ</t>
    </rPh>
    <rPh sb="2" eb="4">
      <t>ビョウショウ</t>
    </rPh>
    <phoneticPr fontId="9"/>
  </si>
  <si>
    <t>新設病床118</t>
    <rPh sb="0" eb="2">
      <t>シンセツ</t>
    </rPh>
    <rPh sb="2" eb="4">
      <t>ビョウショウ</t>
    </rPh>
    <phoneticPr fontId="9"/>
  </si>
  <si>
    <t>既設病床119</t>
    <rPh sb="0" eb="2">
      <t>キセツ</t>
    </rPh>
    <rPh sb="2" eb="4">
      <t>ビョウショウ</t>
    </rPh>
    <phoneticPr fontId="9"/>
  </si>
  <si>
    <t>新設病床119</t>
    <rPh sb="0" eb="2">
      <t>シンセツ</t>
    </rPh>
    <rPh sb="2" eb="4">
      <t>ビョウショウ</t>
    </rPh>
    <phoneticPr fontId="9"/>
  </si>
  <si>
    <t>既設病床120</t>
    <rPh sb="0" eb="2">
      <t>キセツ</t>
    </rPh>
    <rPh sb="2" eb="4">
      <t>ビョウショウ</t>
    </rPh>
    <phoneticPr fontId="9"/>
  </si>
  <si>
    <t>新設病床120</t>
    <rPh sb="0" eb="2">
      <t>シンセツ</t>
    </rPh>
    <rPh sb="2" eb="4">
      <t>ビョウショウ</t>
    </rPh>
    <phoneticPr fontId="9"/>
  </si>
  <si>
    <t>既設病床121</t>
    <rPh sb="0" eb="2">
      <t>キセツ</t>
    </rPh>
    <rPh sb="2" eb="4">
      <t>ビョウショウ</t>
    </rPh>
    <phoneticPr fontId="9"/>
  </si>
  <si>
    <t>新設病床121</t>
    <rPh sb="0" eb="2">
      <t>シンセツ</t>
    </rPh>
    <rPh sb="2" eb="4">
      <t>ビョウショウ</t>
    </rPh>
    <phoneticPr fontId="9"/>
  </si>
  <si>
    <t>既設病床122</t>
    <rPh sb="0" eb="2">
      <t>キセツ</t>
    </rPh>
    <rPh sb="2" eb="4">
      <t>ビョウショウ</t>
    </rPh>
    <phoneticPr fontId="9"/>
  </si>
  <si>
    <t>新設病床122</t>
    <rPh sb="0" eb="2">
      <t>シンセツ</t>
    </rPh>
    <rPh sb="2" eb="4">
      <t>ビョウショウ</t>
    </rPh>
    <phoneticPr fontId="9"/>
  </si>
  <si>
    <t>既設病床123</t>
    <rPh sb="0" eb="2">
      <t>キセツ</t>
    </rPh>
    <rPh sb="2" eb="4">
      <t>ビョウショウ</t>
    </rPh>
    <phoneticPr fontId="9"/>
  </si>
  <si>
    <t>新設病床123</t>
    <rPh sb="0" eb="2">
      <t>シンセツ</t>
    </rPh>
    <rPh sb="2" eb="4">
      <t>ビョウショウ</t>
    </rPh>
    <phoneticPr fontId="9"/>
  </si>
  <si>
    <t>既設病床124</t>
    <rPh sb="0" eb="2">
      <t>キセツ</t>
    </rPh>
    <rPh sb="2" eb="4">
      <t>ビョウショウ</t>
    </rPh>
    <phoneticPr fontId="9"/>
  </si>
  <si>
    <t>新設病床124</t>
    <rPh sb="0" eb="2">
      <t>シンセツ</t>
    </rPh>
    <rPh sb="2" eb="4">
      <t>ビョウショウ</t>
    </rPh>
    <phoneticPr fontId="9"/>
  </si>
  <si>
    <t>既設病床125</t>
    <rPh sb="0" eb="2">
      <t>キセツ</t>
    </rPh>
    <rPh sb="2" eb="4">
      <t>ビョウショウ</t>
    </rPh>
    <phoneticPr fontId="9"/>
  </si>
  <si>
    <t>新設病床125</t>
    <rPh sb="0" eb="2">
      <t>シンセツ</t>
    </rPh>
    <rPh sb="2" eb="4">
      <t>ビョウショウ</t>
    </rPh>
    <phoneticPr fontId="9"/>
  </si>
  <si>
    <t>既設病床126</t>
    <rPh sb="0" eb="2">
      <t>キセツ</t>
    </rPh>
    <rPh sb="2" eb="4">
      <t>ビョウショウ</t>
    </rPh>
    <phoneticPr fontId="9"/>
  </si>
  <si>
    <t>新設病床126</t>
    <rPh sb="0" eb="2">
      <t>シンセツ</t>
    </rPh>
    <rPh sb="2" eb="4">
      <t>ビョウショウ</t>
    </rPh>
    <phoneticPr fontId="9"/>
  </si>
  <si>
    <t>既設病床127</t>
    <rPh sb="0" eb="2">
      <t>キセツ</t>
    </rPh>
    <rPh sb="2" eb="4">
      <t>ビョウショウ</t>
    </rPh>
    <phoneticPr fontId="9"/>
  </si>
  <si>
    <t>新設病床127</t>
    <rPh sb="0" eb="2">
      <t>シンセツ</t>
    </rPh>
    <rPh sb="2" eb="4">
      <t>ビョウショウ</t>
    </rPh>
    <phoneticPr fontId="9"/>
  </si>
  <si>
    <t>既設病床128</t>
    <rPh sb="0" eb="2">
      <t>キセツ</t>
    </rPh>
    <rPh sb="2" eb="4">
      <t>ビョウショウ</t>
    </rPh>
    <phoneticPr fontId="9"/>
  </si>
  <si>
    <t>新設病床128</t>
    <rPh sb="0" eb="2">
      <t>シンセツ</t>
    </rPh>
    <rPh sb="2" eb="4">
      <t>ビョウショウ</t>
    </rPh>
    <phoneticPr fontId="9"/>
  </si>
  <si>
    <t>既設病床129</t>
    <rPh sb="0" eb="2">
      <t>キセツ</t>
    </rPh>
    <rPh sb="2" eb="4">
      <t>ビョウショウ</t>
    </rPh>
    <phoneticPr fontId="9"/>
  </si>
  <si>
    <t>新設病床129</t>
    <rPh sb="0" eb="2">
      <t>シンセツ</t>
    </rPh>
    <rPh sb="2" eb="4">
      <t>ビョウショウ</t>
    </rPh>
    <phoneticPr fontId="9"/>
  </si>
  <si>
    <t>既設病床130</t>
    <rPh sb="0" eb="2">
      <t>キセツ</t>
    </rPh>
    <rPh sb="2" eb="4">
      <t>ビョウショウ</t>
    </rPh>
    <phoneticPr fontId="9"/>
  </si>
  <si>
    <t>新設病床130</t>
    <rPh sb="0" eb="2">
      <t>シンセツ</t>
    </rPh>
    <rPh sb="2" eb="4">
      <t>ビョウショウ</t>
    </rPh>
    <phoneticPr fontId="9"/>
  </si>
  <si>
    <t>既設病床131</t>
    <rPh sb="0" eb="2">
      <t>キセツ</t>
    </rPh>
    <rPh sb="2" eb="4">
      <t>ビョウショウ</t>
    </rPh>
    <phoneticPr fontId="9"/>
  </si>
  <si>
    <t>新設病床131</t>
    <rPh sb="0" eb="2">
      <t>シンセツ</t>
    </rPh>
    <rPh sb="2" eb="4">
      <t>ビョウショウ</t>
    </rPh>
    <phoneticPr fontId="9"/>
  </si>
  <si>
    <t>既設病床132</t>
    <rPh sb="0" eb="2">
      <t>キセツ</t>
    </rPh>
    <rPh sb="2" eb="4">
      <t>ビョウショウ</t>
    </rPh>
    <phoneticPr fontId="9"/>
  </si>
  <si>
    <t>新設病床132</t>
    <rPh sb="0" eb="2">
      <t>シンセツ</t>
    </rPh>
    <rPh sb="2" eb="4">
      <t>ビョウショウ</t>
    </rPh>
    <phoneticPr fontId="9"/>
  </si>
  <si>
    <t>既設病床133</t>
    <rPh sb="0" eb="2">
      <t>キセツ</t>
    </rPh>
    <rPh sb="2" eb="4">
      <t>ビョウショウ</t>
    </rPh>
    <phoneticPr fontId="9"/>
  </si>
  <si>
    <t>新設病床133</t>
    <rPh sb="0" eb="2">
      <t>シンセツ</t>
    </rPh>
    <rPh sb="2" eb="4">
      <t>ビョウショウ</t>
    </rPh>
    <phoneticPr fontId="9"/>
  </si>
  <si>
    <t>既設病床134</t>
    <rPh sb="0" eb="2">
      <t>キセツ</t>
    </rPh>
    <rPh sb="2" eb="4">
      <t>ビョウショウ</t>
    </rPh>
    <phoneticPr fontId="9"/>
  </si>
  <si>
    <t>新設病床134</t>
    <rPh sb="0" eb="2">
      <t>シンセツ</t>
    </rPh>
    <rPh sb="2" eb="4">
      <t>ビョウショウ</t>
    </rPh>
    <phoneticPr fontId="9"/>
  </si>
  <si>
    <t>既設病床135</t>
    <rPh sb="0" eb="2">
      <t>キセツ</t>
    </rPh>
    <rPh sb="2" eb="4">
      <t>ビョウショウ</t>
    </rPh>
    <phoneticPr fontId="9"/>
  </si>
  <si>
    <t>新設病床135</t>
    <rPh sb="0" eb="2">
      <t>シンセツ</t>
    </rPh>
    <rPh sb="2" eb="4">
      <t>ビョウショウ</t>
    </rPh>
    <phoneticPr fontId="9"/>
  </si>
  <si>
    <t>既設病床136</t>
    <rPh sb="0" eb="2">
      <t>キセツ</t>
    </rPh>
    <rPh sb="2" eb="4">
      <t>ビョウショウ</t>
    </rPh>
    <phoneticPr fontId="9"/>
  </si>
  <si>
    <t>新設病床136</t>
    <rPh sb="0" eb="2">
      <t>シンセツ</t>
    </rPh>
    <rPh sb="2" eb="4">
      <t>ビョウショウ</t>
    </rPh>
    <phoneticPr fontId="9"/>
  </si>
  <si>
    <t>既設病床137</t>
    <rPh sb="0" eb="2">
      <t>キセツ</t>
    </rPh>
    <rPh sb="2" eb="4">
      <t>ビョウショウ</t>
    </rPh>
    <phoneticPr fontId="9"/>
  </si>
  <si>
    <t>新設病床137</t>
    <rPh sb="0" eb="2">
      <t>シンセツ</t>
    </rPh>
    <rPh sb="2" eb="4">
      <t>ビョウショウ</t>
    </rPh>
    <phoneticPr fontId="9"/>
  </si>
  <si>
    <t>既設病床138</t>
    <rPh sb="0" eb="2">
      <t>キセツ</t>
    </rPh>
    <rPh sb="2" eb="4">
      <t>ビョウショウ</t>
    </rPh>
    <phoneticPr fontId="9"/>
  </si>
  <si>
    <t>新設病床138</t>
    <rPh sb="0" eb="2">
      <t>シンセツ</t>
    </rPh>
    <rPh sb="2" eb="4">
      <t>ビョウショウ</t>
    </rPh>
    <phoneticPr fontId="9"/>
  </si>
  <si>
    <t>既設病床139</t>
    <rPh sb="0" eb="2">
      <t>キセツ</t>
    </rPh>
    <rPh sb="2" eb="4">
      <t>ビョウショウ</t>
    </rPh>
    <phoneticPr fontId="9"/>
  </si>
  <si>
    <t>新設病床139</t>
    <rPh sb="0" eb="2">
      <t>シンセツ</t>
    </rPh>
    <rPh sb="2" eb="4">
      <t>ビョウショウ</t>
    </rPh>
    <phoneticPr fontId="9"/>
  </si>
  <si>
    <t>既設病床140</t>
    <rPh sb="0" eb="2">
      <t>キセツ</t>
    </rPh>
    <rPh sb="2" eb="4">
      <t>ビョウショウ</t>
    </rPh>
    <phoneticPr fontId="9"/>
  </si>
  <si>
    <t>新設病床140</t>
    <rPh sb="0" eb="2">
      <t>シンセツ</t>
    </rPh>
    <rPh sb="2" eb="4">
      <t>ビョウショウ</t>
    </rPh>
    <phoneticPr fontId="9"/>
  </si>
  <si>
    <t>既設病床141</t>
    <rPh sb="0" eb="2">
      <t>キセツ</t>
    </rPh>
    <rPh sb="2" eb="4">
      <t>ビョウショウ</t>
    </rPh>
    <phoneticPr fontId="9"/>
  </si>
  <si>
    <t>新設病床141</t>
    <rPh sb="0" eb="2">
      <t>シンセツ</t>
    </rPh>
    <rPh sb="2" eb="4">
      <t>ビョウショウ</t>
    </rPh>
    <phoneticPr fontId="9"/>
  </si>
  <si>
    <t>既設病床142</t>
    <rPh sb="0" eb="2">
      <t>キセツ</t>
    </rPh>
    <rPh sb="2" eb="4">
      <t>ビョウショウ</t>
    </rPh>
    <phoneticPr fontId="9"/>
  </si>
  <si>
    <t>新設病床142</t>
    <rPh sb="0" eb="2">
      <t>シンセツ</t>
    </rPh>
    <rPh sb="2" eb="4">
      <t>ビョウショウ</t>
    </rPh>
    <phoneticPr fontId="9"/>
  </si>
  <si>
    <t>既設病床143</t>
    <rPh sb="0" eb="2">
      <t>キセツ</t>
    </rPh>
    <rPh sb="2" eb="4">
      <t>ビョウショウ</t>
    </rPh>
    <phoneticPr fontId="9"/>
  </si>
  <si>
    <t>新設病床143</t>
    <rPh sb="0" eb="2">
      <t>シンセツ</t>
    </rPh>
    <rPh sb="2" eb="4">
      <t>ビョウショウ</t>
    </rPh>
    <phoneticPr fontId="9"/>
  </si>
  <si>
    <t>既設病床144</t>
    <rPh sb="0" eb="2">
      <t>キセツ</t>
    </rPh>
    <rPh sb="2" eb="4">
      <t>ビョウショウ</t>
    </rPh>
    <phoneticPr fontId="9"/>
  </si>
  <si>
    <t>新設病床144</t>
    <rPh sb="0" eb="2">
      <t>シンセツ</t>
    </rPh>
    <rPh sb="2" eb="4">
      <t>ビョウショウ</t>
    </rPh>
    <phoneticPr fontId="9"/>
  </si>
  <si>
    <t>既設病床145</t>
    <rPh sb="0" eb="2">
      <t>キセツ</t>
    </rPh>
    <rPh sb="2" eb="4">
      <t>ビョウショウ</t>
    </rPh>
    <phoneticPr fontId="9"/>
  </si>
  <si>
    <t>新設病床145</t>
    <rPh sb="0" eb="2">
      <t>シンセツ</t>
    </rPh>
    <rPh sb="2" eb="4">
      <t>ビョウショウ</t>
    </rPh>
    <phoneticPr fontId="9"/>
  </si>
  <si>
    <t>既設病床146</t>
    <rPh sb="0" eb="2">
      <t>キセツ</t>
    </rPh>
    <rPh sb="2" eb="4">
      <t>ビョウショウ</t>
    </rPh>
    <phoneticPr fontId="9"/>
  </si>
  <si>
    <t>新設病床146</t>
    <rPh sb="0" eb="2">
      <t>シンセツ</t>
    </rPh>
    <rPh sb="2" eb="4">
      <t>ビョウショウ</t>
    </rPh>
    <phoneticPr fontId="9"/>
  </si>
  <si>
    <t>既設病床147</t>
    <rPh sb="0" eb="2">
      <t>キセツ</t>
    </rPh>
    <rPh sb="2" eb="4">
      <t>ビョウショウ</t>
    </rPh>
    <phoneticPr fontId="9"/>
  </si>
  <si>
    <t>新設病床147</t>
    <rPh sb="0" eb="2">
      <t>シンセツ</t>
    </rPh>
    <rPh sb="2" eb="4">
      <t>ビョウショウ</t>
    </rPh>
    <phoneticPr fontId="9"/>
  </si>
  <si>
    <t>既設病床148</t>
    <rPh sb="0" eb="2">
      <t>キセツ</t>
    </rPh>
    <rPh sb="2" eb="4">
      <t>ビョウショウ</t>
    </rPh>
    <phoneticPr fontId="9"/>
  </si>
  <si>
    <t>新設病床148</t>
    <rPh sb="0" eb="2">
      <t>シンセツ</t>
    </rPh>
    <rPh sb="2" eb="4">
      <t>ビョウショウ</t>
    </rPh>
    <phoneticPr fontId="9"/>
  </si>
  <si>
    <t>既設病床149</t>
    <rPh sb="0" eb="2">
      <t>キセツ</t>
    </rPh>
    <rPh sb="2" eb="4">
      <t>ビョウショウ</t>
    </rPh>
    <phoneticPr fontId="9"/>
  </si>
  <si>
    <t>新設病床149</t>
    <rPh sb="0" eb="2">
      <t>シンセツ</t>
    </rPh>
    <rPh sb="2" eb="4">
      <t>ビョウショウ</t>
    </rPh>
    <phoneticPr fontId="9"/>
  </si>
  <si>
    <t>既設病床150</t>
    <rPh sb="0" eb="2">
      <t>キセツ</t>
    </rPh>
    <rPh sb="2" eb="4">
      <t>ビョウショウ</t>
    </rPh>
    <phoneticPr fontId="9"/>
  </si>
  <si>
    <t>新設病床150</t>
    <rPh sb="0" eb="2">
      <t>シンセツ</t>
    </rPh>
    <rPh sb="2" eb="4">
      <t>ビョウショウ</t>
    </rPh>
    <phoneticPr fontId="9"/>
  </si>
  <si>
    <r>
      <t>１．はじめに
　　今回申請するにあたり、以下の記入欄に必要事項を入力してください。→　記入欄右の「判定」が全て「○」となり、</t>
    </r>
    <r>
      <rPr>
        <b/>
        <u/>
        <sz val="12"/>
        <color rgb="FFFF0000"/>
        <rFont val="Yu Gothic"/>
        <family val="3"/>
        <charset val="128"/>
        <scheme val="minor"/>
      </rPr>
      <t>赤表示が全て白表示に変われば入力完了</t>
    </r>
    <r>
      <rPr>
        <b/>
        <sz val="12"/>
        <color theme="1"/>
        <rFont val="Yu Gothic"/>
        <family val="3"/>
        <charset val="128"/>
        <scheme val="minor"/>
      </rPr>
      <t>です。
　　　　　　　　　　　　　　　　　　　　　　　　　　　　　　　　　　→　記載不十分等の箇所はコメント欄を参照ください。
　　こちらで入力した内容はその後に入力いただく各種様式の必要記載部分に反映されます。</t>
    </r>
    <rPh sb="9" eb="11">
      <t>コンカイ</t>
    </rPh>
    <rPh sb="11" eb="13">
      <t>シンセイ</t>
    </rPh>
    <rPh sb="20" eb="22">
      <t>イカ</t>
    </rPh>
    <rPh sb="23" eb="26">
      <t>キニュウラン</t>
    </rPh>
    <rPh sb="27" eb="29">
      <t>ヒツヨウ</t>
    </rPh>
    <rPh sb="29" eb="31">
      <t>ジコウ</t>
    </rPh>
    <rPh sb="32" eb="34">
      <t>ニュウリョク</t>
    </rPh>
    <rPh sb="43" eb="46">
      <t>キニュウラン</t>
    </rPh>
    <rPh sb="46" eb="47">
      <t>ミギ</t>
    </rPh>
    <rPh sb="49" eb="51">
      <t>ハンテイ</t>
    </rPh>
    <rPh sb="53" eb="54">
      <t>スベ</t>
    </rPh>
    <rPh sb="62" eb="63">
      <t>アカ</t>
    </rPh>
    <rPh sb="63" eb="65">
      <t>ヒョウジ</t>
    </rPh>
    <rPh sb="66" eb="67">
      <t>スベ</t>
    </rPh>
    <rPh sb="68" eb="69">
      <t>シロ</t>
    </rPh>
    <rPh sb="69" eb="71">
      <t>ヒョウジ</t>
    </rPh>
    <rPh sb="72" eb="73">
      <t>カ</t>
    </rPh>
    <rPh sb="76" eb="78">
      <t>ニュウリョク</t>
    </rPh>
    <rPh sb="78" eb="80">
      <t>カンリョウ</t>
    </rPh>
    <rPh sb="120" eb="122">
      <t>キサイ</t>
    </rPh>
    <rPh sb="122" eb="125">
      <t>フジュウブン</t>
    </rPh>
    <rPh sb="125" eb="126">
      <t>トウ</t>
    </rPh>
    <rPh sb="127" eb="129">
      <t>カショ</t>
    </rPh>
    <rPh sb="134" eb="135">
      <t>ラン</t>
    </rPh>
    <rPh sb="136" eb="138">
      <t>サンショウ</t>
    </rPh>
    <rPh sb="150" eb="152">
      <t>ニュウリョク</t>
    </rPh>
    <rPh sb="154" eb="156">
      <t>ナイヨウ</t>
    </rPh>
    <rPh sb="159" eb="160">
      <t>ゴ</t>
    </rPh>
    <rPh sb="161" eb="163">
      <t>ニュウリョク</t>
    </rPh>
    <rPh sb="167" eb="169">
      <t>カクシュ</t>
    </rPh>
    <rPh sb="169" eb="171">
      <t>ヨウシキ</t>
    </rPh>
    <rPh sb="172" eb="174">
      <t>ヒツヨウ</t>
    </rPh>
    <rPh sb="174" eb="176">
      <t>キサイ</t>
    </rPh>
    <rPh sb="176" eb="178">
      <t>ブブン</t>
    </rPh>
    <rPh sb="179" eb="181">
      <t>ハンエイ</t>
    </rPh>
    <phoneticPr fontId="9"/>
  </si>
  <si>
    <t>判定</t>
    <rPh sb="0" eb="2">
      <t>ハンテイ</t>
    </rPh>
    <phoneticPr fontId="5"/>
  </si>
  <si>
    <t>コメント</t>
  </si>
  <si>
    <t>コメント</t>
    <phoneticPr fontId="5"/>
  </si>
  <si>
    <t>↑</t>
    <phoneticPr fontId="5"/>
  </si>
  <si>
    <t>総合判定</t>
    <rPh sb="0" eb="2">
      <t>ソウゴウ</t>
    </rPh>
    <rPh sb="2" eb="4">
      <t>ハンテイ</t>
    </rPh>
    <phoneticPr fontId="5"/>
  </si>
  <si>
    <t>内訳表全体の入力判定</t>
    <rPh sb="0" eb="2">
      <t>ウチワケ</t>
    </rPh>
    <rPh sb="2" eb="3">
      <t>ヒョウ</t>
    </rPh>
    <rPh sb="3" eb="5">
      <t>ゼンタイ</t>
    </rPh>
    <rPh sb="6" eb="8">
      <t>ニュウリョク</t>
    </rPh>
    <rPh sb="8" eb="10">
      <t>ハンテイ</t>
    </rPh>
    <phoneticPr fontId="5"/>
  </si>
  <si>
    <t>交付申請</t>
    <rPh sb="0" eb="2">
      <t>コウフ</t>
    </rPh>
    <rPh sb="2" eb="4">
      <t>シンセイ</t>
    </rPh>
    <phoneticPr fontId="5"/>
  </si>
  <si>
    <t>実績報告</t>
    <rPh sb="0" eb="2">
      <t>ジッセキ</t>
    </rPh>
    <rPh sb="2" eb="4">
      <t>ホウコク</t>
    </rPh>
    <phoneticPr fontId="5"/>
  </si>
  <si>
    <t>初度設備明細</t>
    <rPh sb="0" eb="2">
      <t>ショド</t>
    </rPh>
    <rPh sb="2" eb="4">
      <t>セツビ</t>
    </rPh>
    <rPh sb="4" eb="6">
      <t>メイサイ</t>
    </rPh>
    <phoneticPr fontId="4"/>
  </si>
  <si>
    <t>人工呼吸器明細</t>
    <rPh sb="0" eb="2">
      <t>ジンコウ</t>
    </rPh>
    <rPh sb="2" eb="5">
      <t>コキュウキ</t>
    </rPh>
    <phoneticPr fontId="4"/>
  </si>
  <si>
    <t>個人防護具明細</t>
    <rPh sb="0" eb="2">
      <t>コジン</t>
    </rPh>
    <rPh sb="2" eb="4">
      <t>ボウゴ</t>
    </rPh>
    <rPh sb="4" eb="5">
      <t>グ</t>
    </rPh>
    <phoneticPr fontId="4"/>
  </si>
  <si>
    <t>簡易陰圧装置明細</t>
    <rPh sb="0" eb="2">
      <t>カンイ</t>
    </rPh>
    <rPh sb="2" eb="3">
      <t>カゲ</t>
    </rPh>
    <rPh sb="3" eb="4">
      <t>アツ</t>
    </rPh>
    <rPh sb="4" eb="6">
      <t>ソウチ</t>
    </rPh>
    <phoneticPr fontId="4"/>
  </si>
  <si>
    <t>簡易ベッド明細</t>
    <rPh sb="0" eb="2">
      <t>カンイ</t>
    </rPh>
    <phoneticPr fontId="4"/>
  </si>
  <si>
    <t>体外式膜型人工肺明細</t>
    <rPh sb="0" eb="3">
      <t>タイガイシキ</t>
    </rPh>
    <rPh sb="3" eb="4">
      <t>マク</t>
    </rPh>
    <rPh sb="4" eb="5">
      <t>ガタ</t>
    </rPh>
    <rPh sb="5" eb="7">
      <t>ジンコウ</t>
    </rPh>
    <rPh sb="7" eb="8">
      <t>ハイ</t>
    </rPh>
    <phoneticPr fontId="4"/>
  </si>
  <si>
    <t>簡易病室明細</t>
    <rPh sb="0" eb="2">
      <t>カンイ</t>
    </rPh>
    <rPh sb="2" eb="4">
      <t>ビョウシツ</t>
    </rPh>
    <phoneticPr fontId="4"/>
  </si>
  <si>
    <t>紫外線照射装置明細</t>
    <rPh sb="0" eb="3">
      <t>シガイセン</t>
    </rPh>
    <rPh sb="3" eb="5">
      <t>ショウシャ</t>
    </rPh>
    <rPh sb="5" eb="7">
      <t>ソウチ</t>
    </rPh>
    <phoneticPr fontId="4"/>
  </si>
  <si>
    <t>超音波画像診断装置明細</t>
    <rPh sb="0" eb="3">
      <t>チョウオンパ</t>
    </rPh>
    <rPh sb="3" eb="5">
      <t>ガゾウ</t>
    </rPh>
    <rPh sb="5" eb="7">
      <t>シンダン</t>
    </rPh>
    <rPh sb="7" eb="9">
      <t>ソウチ</t>
    </rPh>
    <rPh sb="9" eb="11">
      <t>メイサイ</t>
    </rPh>
    <phoneticPr fontId="4"/>
  </si>
  <si>
    <t>血液浄化装置明細</t>
    <rPh sb="0" eb="2">
      <t>ケツエキ</t>
    </rPh>
    <rPh sb="2" eb="4">
      <t>ジョウカ</t>
    </rPh>
    <rPh sb="4" eb="6">
      <t>ソウチ</t>
    </rPh>
    <phoneticPr fontId="4"/>
  </si>
  <si>
    <t>気管支鏡明細</t>
    <rPh sb="0" eb="4">
      <t>キカンシキョウ</t>
    </rPh>
    <phoneticPr fontId="4"/>
  </si>
  <si>
    <t>CT撮影装置明細</t>
    <rPh sb="2" eb="4">
      <t>サツエイ</t>
    </rPh>
    <rPh sb="4" eb="6">
      <t>ソウチ</t>
    </rPh>
    <phoneticPr fontId="4"/>
  </si>
  <si>
    <t>生体情報モニタ明細</t>
    <rPh sb="2" eb="4">
      <t>ジョウホウ</t>
    </rPh>
    <phoneticPr fontId="4"/>
  </si>
  <si>
    <t>分娩監視装置明細</t>
    <rPh sb="0" eb="2">
      <t>ブンベン</t>
    </rPh>
    <rPh sb="2" eb="4">
      <t>カンシ</t>
    </rPh>
    <rPh sb="4" eb="6">
      <t>ソウチ</t>
    </rPh>
    <phoneticPr fontId="4"/>
  </si>
  <si>
    <t>新生児モニタ明細</t>
    <rPh sb="0" eb="3">
      <t>シンセイジ</t>
    </rPh>
    <phoneticPr fontId="4"/>
  </si>
  <si>
    <t>様式2-1</t>
    <rPh sb="0" eb="2">
      <t>ヨウシキ</t>
    </rPh>
    <phoneticPr fontId="5"/>
  </si>
  <si>
    <t>様式2-2</t>
    <rPh sb="0" eb="2">
      <t>ヨウシキ</t>
    </rPh>
    <phoneticPr fontId="5"/>
  </si>
  <si>
    <t>様式2-3</t>
    <rPh sb="0" eb="2">
      <t>ヨウシキ</t>
    </rPh>
    <phoneticPr fontId="5"/>
  </si>
  <si>
    <t>様式2-4</t>
    <rPh sb="0" eb="2">
      <t>ヨウシキ</t>
    </rPh>
    <phoneticPr fontId="5"/>
  </si>
  <si>
    <t>様式2-5</t>
    <rPh sb="0" eb="2">
      <t>ヨウシキ</t>
    </rPh>
    <phoneticPr fontId="5"/>
  </si>
  <si>
    <t>様式2-6</t>
    <rPh sb="0" eb="2">
      <t>ヨウシキ</t>
    </rPh>
    <phoneticPr fontId="5"/>
  </si>
  <si>
    <t>様式2-7</t>
    <rPh sb="0" eb="2">
      <t>ヨウシキ</t>
    </rPh>
    <phoneticPr fontId="5"/>
  </si>
  <si>
    <t>様式2-8</t>
    <rPh sb="0" eb="2">
      <t>ヨウシキ</t>
    </rPh>
    <phoneticPr fontId="5"/>
  </si>
  <si>
    <t>様式2-9</t>
    <rPh sb="0" eb="2">
      <t>ヨウシキ</t>
    </rPh>
    <phoneticPr fontId="5"/>
  </si>
  <si>
    <t>様式2-10</t>
    <rPh sb="0" eb="2">
      <t>ヨウシキ</t>
    </rPh>
    <phoneticPr fontId="5"/>
  </si>
  <si>
    <t>様式2-11</t>
    <rPh sb="0" eb="2">
      <t>ヨウシキ</t>
    </rPh>
    <phoneticPr fontId="5"/>
  </si>
  <si>
    <t>様式2-12</t>
    <rPh sb="0" eb="2">
      <t>ヨウシキ</t>
    </rPh>
    <phoneticPr fontId="5"/>
  </si>
  <si>
    <t>様式2-13</t>
    <rPh sb="0" eb="2">
      <t>ヨウシキ</t>
    </rPh>
    <phoneticPr fontId="5"/>
  </si>
  <si>
    <t>様式2-14</t>
    <rPh sb="0" eb="2">
      <t>ヨウシキ</t>
    </rPh>
    <phoneticPr fontId="5"/>
  </si>
  <si>
    <t>様式2-15</t>
    <rPh sb="0" eb="2">
      <t>ヨウシキ</t>
    </rPh>
    <phoneticPr fontId="5"/>
  </si>
  <si>
    <t>（例）これまで入院患者の診療を外来棟の一室で行っていたが、建物の構造上、一般患者との動線分けに限界があり、院内感染のおそれがこれまであったことから、確保病床を有するフロア内の倉庫スペースを改修して診察スペースを確保した。
患者の中には基礎疾患も相まって座位の保持が難しい者も一定数いることから、臥位での診察を行うため簡易ベッドを整備することとしたい。</t>
    <rPh sb="1" eb="2">
      <t>レイ</t>
    </rPh>
    <rPh sb="7" eb="9">
      <t>ニュウイン</t>
    </rPh>
    <rPh sb="9" eb="11">
      <t>カンジャ</t>
    </rPh>
    <rPh sb="12" eb="14">
      <t>シンリョウ</t>
    </rPh>
    <rPh sb="15" eb="17">
      <t>ガイライ</t>
    </rPh>
    <rPh sb="17" eb="18">
      <t>トウ</t>
    </rPh>
    <rPh sb="19" eb="21">
      <t>イッシツ</t>
    </rPh>
    <rPh sb="22" eb="23">
      <t>オコナ</t>
    </rPh>
    <rPh sb="29" eb="31">
      <t>タテモノ</t>
    </rPh>
    <rPh sb="32" eb="34">
      <t>コウゾウ</t>
    </rPh>
    <rPh sb="34" eb="35">
      <t>ジョウ</t>
    </rPh>
    <rPh sb="36" eb="38">
      <t>イッパン</t>
    </rPh>
    <rPh sb="38" eb="40">
      <t>カンジャ</t>
    </rPh>
    <rPh sb="42" eb="44">
      <t>ドウセン</t>
    </rPh>
    <rPh sb="44" eb="45">
      <t>ワ</t>
    </rPh>
    <rPh sb="47" eb="49">
      <t>ゲンカイ</t>
    </rPh>
    <rPh sb="53" eb="55">
      <t>インナイ</t>
    </rPh>
    <rPh sb="55" eb="57">
      <t>カンセン</t>
    </rPh>
    <rPh sb="74" eb="76">
      <t>カクホ</t>
    </rPh>
    <rPh sb="76" eb="78">
      <t>ビョウショウ</t>
    </rPh>
    <rPh sb="79" eb="80">
      <t>ユウ</t>
    </rPh>
    <rPh sb="85" eb="86">
      <t>ナイ</t>
    </rPh>
    <rPh sb="87" eb="89">
      <t>ソウコ</t>
    </rPh>
    <rPh sb="94" eb="96">
      <t>カイシュウ</t>
    </rPh>
    <rPh sb="98" eb="100">
      <t>シンサツ</t>
    </rPh>
    <rPh sb="105" eb="107">
      <t>カクホ</t>
    </rPh>
    <rPh sb="111" eb="113">
      <t>カンジャ</t>
    </rPh>
    <rPh sb="114" eb="115">
      <t>ナカ</t>
    </rPh>
    <rPh sb="117" eb="119">
      <t>キソ</t>
    </rPh>
    <rPh sb="119" eb="121">
      <t>シッカン</t>
    </rPh>
    <rPh sb="122" eb="123">
      <t>アイ</t>
    </rPh>
    <rPh sb="126" eb="128">
      <t>ザイ</t>
    </rPh>
    <rPh sb="129" eb="131">
      <t>ホジ</t>
    </rPh>
    <rPh sb="132" eb="133">
      <t>ムズカ</t>
    </rPh>
    <rPh sb="135" eb="136">
      <t>モノ</t>
    </rPh>
    <rPh sb="137" eb="140">
      <t>イッテイスウ</t>
    </rPh>
    <rPh sb="147" eb="149">
      <t>ガイ</t>
    </rPh>
    <rPh sb="151" eb="153">
      <t>シンサツ</t>
    </rPh>
    <rPh sb="154" eb="155">
      <t>オコナ</t>
    </rPh>
    <rPh sb="158" eb="160">
      <t>カンイ</t>
    </rPh>
    <rPh sb="164" eb="166">
      <t>セイビ</t>
    </rPh>
    <phoneticPr fontId="5"/>
  </si>
  <si>
    <t>（例）本院が所在する医療圏は確保病床自体が少なく、都市部から遠隔地であることから、受入対応が難しい際の隣接圏域への搬送に時間を要する事態が生じたケースがある。
　感染ピークの度に圏域内の確保病床の逼迫が生じたことから、受入可能数を増やす必要性について圏域内の関係医療機関の間で問題共有されていたところである。
　このことから、本院として今後人員体制を拡充し、入院要請を断ることがないよう○床分の病床を追加で確保するための整備を行うこととしたい。</t>
    <rPh sb="1" eb="2">
      <t>レイ</t>
    </rPh>
    <rPh sb="3" eb="5">
      <t>ホンイン</t>
    </rPh>
    <rPh sb="6" eb="8">
      <t>ショザイ</t>
    </rPh>
    <rPh sb="10" eb="12">
      <t>イリョウ</t>
    </rPh>
    <rPh sb="12" eb="13">
      <t>ケン</t>
    </rPh>
    <rPh sb="14" eb="16">
      <t>カクホ</t>
    </rPh>
    <rPh sb="16" eb="18">
      <t>ビョウショウ</t>
    </rPh>
    <rPh sb="18" eb="20">
      <t>ジタイ</t>
    </rPh>
    <rPh sb="21" eb="22">
      <t>スク</t>
    </rPh>
    <rPh sb="25" eb="28">
      <t>トシブ</t>
    </rPh>
    <rPh sb="30" eb="32">
      <t>エンカク</t>
    </rPh>
    <rPh sb="32" eb="33">
      <t>チ</t>
    </rPh>
    <rPh sb="41" eb="43">
      <t>ウケイレ</t>
    </rPh>
    <rPh sb="43" eb="45">
      <t>タイオウ</t>
    </rPh>
    <rPh sb="46" eb="47">
      <t>ムズカ</t>
    </rPh>
    <rPh sb="49" eb="50">
      <t>サイ</t>
    </rPh>
    <rPh sb="51" eb="53">
      <t>リンセツ</t>
    </rPh>
    <rPh sb="53" eb="55">
      <t>ケンイキ</t>
    </rPh>
    <rPh sb="57" eb="59">
      <t>ハンソウ</t>
    </rPh>
    <rPh sb="60" eb="62">
      <t>ジカン</t>
    </rPh>
    <rPh sb="63" eb="64">
      <t>ヨウ</t>
    </rPh>
    <rPh sb="66" eb="68">
      <t>ジタイ</t>
    </rPh>
    <rPh sb="69" eb="70">
      <t>ショウ</t>
    </rPh>
    <rPh sb="81" eb="83">
      <t>カンセン</t>
    </rPh>
    <rPh sb="87" eb="88">
      <t>タビ</t>
    </rPh>
    <rPh sb="89" eb="90">
      <t>ケン</t>
    </rPh>
    <rPh sb="90" eb="92">
      <t>イキナイ</t>
    </rPh>
    <rPh sb="93" eb="95">
      <t>カクホ</t>
    </rPh>
    <rPh sb="95" eb="97">
      <t>ビョウショウ</t>
    </rPh>
    <rPh sb="98" eb="100">
      <t>ヒッパク</t>
    </rPh>
    <rPh sb="101" eb="102">
      <t>ショウ</t>
    </rPh>
    <rPh sb="109" eb="111">
      <t>ウケイレ</t>
    </rPh>
    <rPh sb="111" eb="113">
      <t>カノウ</t>
    </rPh>
    <rPh sb="113" eb="114">
      <t>スウ</t>
    </rPh>
    <rPh sb="115" eb="116">
      <t>フ</t>
    </rPh>
    <rPh sb="136" eb="137">
      <t>アイダ</t>
    </rPh>
    <rPh sb="138" eb="140">
      <t>モンダイ</t>
    </rPh>
    <rPh sb="140" eb="142">
      <t>キョウユウ</t>
    </rPh>
    <rPh sb="163" eb="165">
      <t>ホンイン</t>
    </rPh>
    <rPh sb="168" eb="170">
      <t>コンゴ</t>
    </rPh>
    <rPh sb="170" eb="172">
      <t>ジンイン</t>
    </rPh>
    <rPh sb="172" eb="174">
      <t>タイセイ</t>
    </rPh>
    <rPh sb="175" eb="177">
      <t>カクジュウ</t>
    </rPh>
    <rPh sb="179" eb="181">
      <t>ニュウイン</t>
    </rPh>
    <rPh sb="181" eb="183">
      <t>ヨウセイ</t>
    </rPh>
    <rPh sb="184" eb="185">
      <t>コトワ</t>
    </rPh>
    <rPh sb="194" eb="195">
      <t>ユカ</t>
    </rPh>
    <rPh sb="195" eb="196">
      <t>ブン</t>
    </rPh>
    <rPh sb="197" eb="199">
      <t>ビョウショウ</t>
    </rPh>
    <rPh sb="200" eb="202">
      <t>ツイカ</t>
    </rPh>
    <rPh sb="203" eb="205">
      <t>カクホ</t>
    </rPh>
    <rPh sb="210" eb="212">
      <t>セイビ</t>
    </rPh>
    <rPh sb="213" eb="214">
      <t>オコナ</t>
    </rPh>
    <phoneticPr fontId="5"/>
  </si>
  <si>
    <t>（例）これまで確保病床○床に対し、超音波画像診断装置○台で対応してきた。当院では人工呼吸器での治療が必要な患者の受入を中心に行っており、超音波画像診断装置を用いた肺炎等の状態の確認が必要不可欠となっている。第7波の感染拡大時には超音波画像診断装置を用いた診療は1日あたり○人の患者に対して行う必要性があったが、○○の理由により、現在の保有台数では1日あたり○人分の対応しかできず、患者の治療に支障をきたす恐れがあることから受入れを断らざるを得ない状況が生じていた。今後も同様の状況が生じることが見込まれるため、新たに○人への対応が可能となるよう、○台の整備を行いたい。</t>
    <rPh sb="7" eb="11">
      <t>カクホビョウショウ</t>
    </rPh>
    <rPh sb="12" eb="13">
      <t>ショウ</t>
    </rPh>
    <rPh sb="14" eb="15">
      <t>タイ</t>
    </rPh>
    <rPh sb="17" eb="26">
      <t>チョウオンパガゾウシンダンソウチ</t>
    </rPh>
    <rPh sb="27" eb="28">
      <t>ダイ</t>
    </rPh>
    <rPh sb="29" eb="31">
      <t>タイオウ</t>
    </rPh>
    <rPh sb="36" eb="38">
      <t>トウイン</t>
    </rPh>
    <rPh sb="40" eb="45">
      <t>ジンコウコキュウキ</t>
    </rPh>
    <rPh sb="47" eb="49">
      <t>チリョウ</t>
    </rPh>
    <rPh sb="50" eb="52">
      <t>ヒツヨウ</t>
    </rPh>
    <rPh sb="53" eb="55">
      <t>カンジャ</t>
    </rPh>
    <rPh sb="56" eb="58">
      <t>ウケイレ</t>
    </rPh>
    <rPh sb="59" eb="61">
      <t>チュウシン</t>
    </rPh>
    <rPh sb="62" eb="63">
      <t>オコナ</t>
    </rPh>
    <rPh sb="68" eb="77">
      <t>チョウオンパガゾウシンダンソウチ</t>
    </rPh>
    <rPh sb="78" eb="79">
      <t>モチ</t>
    </rPh>
    <rPh sb="91" eb="96">
      <t>ヒツヨウフカケツ</t>
    </rPh>
    <rPh sb="103" eb="104">
      <t>ダイ</t>
    </rPh>
    <rPh sb="105" eb="106">
      <t>ハ</t>
    </rPh>
    <rPh sb="107" eb="112">
      <t>カンセンカクダイジ</t>
    </rPh>
    <rPh sb="114" eb="123">
      <t>チョウオンパガゾウシンダンソウチ</t>
    </rPh>
    <rPh sb="124" eb="125">
      <t>モチ</t>
    </rPh>
    <rPh sb="127" eb="129">
      <t>シンリョウ</t>
    </rPh>
    <rPh sb="131" eb="132">
      <t>ニチ</t>
    </rPh>
    <rPh sb="136" eb="137">
      <t>ニン</t>
    </rPh>
    <rPh sb="138" eb="140">
      <t>カンジャ</t>
    </rPh>
    <rPh sb="141" eb="142">
      <t>タイ</t>
    </rPh>
    <rPh sb="144" eb="145">
      <t>オコナ</t>
    </rPh>
    <rPh sb="146" eb="148">
      <t>ヒツヨウ</t>
    </rPh>
    <rPh sb="148" eb="149">
      <t>セイ</t>
    </rPh>
    <rPh sb="158" eb="160">
      <t>リユウ</t>
    </rPh>
    <rPh sb="164" eb="166">
      <t>ゲンザイ</t>
    </rPh>
    <rPh sb="167" eb="171">
      <t>ホユウダイスウ</t>
    </rPh>
    <rPh sb="174" eb="175">
      <t>ニチ</t>
    </rPh>
    <rPh sb="179" eb="180">
      <t>ニン</t>
    </rPh>
    <rPh sb="180" eb="181">
      <t>ブン</t>
    </rPh>
    <rPh sb="182" eb="184">
      <t>タイオウ</t>
    </rPh>
    <rPh sb="211" eb="213">
      <t>ウケイレ</t>
    </rPh>
    <rPh sb="215" eb="216">
      <t>コトワ</t>
    </rPh>
    <rPh sb="220" eb="221">
      <t>エ</t>
    </rPh>
    <rPh sb="223" eb="225">
      <t>ジョウキョウ</t>
    </rPh>
    <rPh sb="226" eb="227">
      <t>ショウ</t>
    </rPh>
    <rPh sb="232" eb="234">
      <t>コンゴ</t>
    </rPh>
    <rPh sb="235" eb="237">
      <t>ドウヨウ</t>
    </rPh>
    <rPh sb="238" eb="240">
      <t>ジョウキョウ</t>
    </rPh>
    <rPh sb="241" eb="242">
      <t>ショウ</t>
    </rPh>
    <rPh sb="247" eb="249">
      <t>ミコ</t>
    </rPh>
    <rPh sb="255" eb="256">
      <t>アラ</t>
    </rPh>
    <rPh sb="258" eb="260">
      <t>マルニン</t>
    </rPh>
    <rPh sb="262" eb="264">
      <t>タイオウ</t>
    </rPh>
    <rPh sb="265" eb="267">
      <t>カノウ</t>
    </rPh>
    <rPh sb="274" eb="275">
      <t>ダイ</t>
    </rPh>
    <rPh sb="276" eb="278">
      <t>セイビ</t>
    </rPh>
    <rPh sb="279" eb="280">
      <t>オコナ</t>
    </rPh>
    <phoneticPr fontId="5"/>
  </si>
  <si>
    <t>（例）これまで確保病床○床に対し、気管支鏡○台で対応してきた。第７波までの患者の受入れ状況から今後気管支鏡を用いた治療は1日あたり○人の患者に対して行う必要性が見込まれるが、使用ごとに消毒する必要があることから、現在の保有台数では1日あたり○人の対応しかすることができず、患者の治療に支障をきたす恐れがある。
　そのため、当院ではこのたび気管支鏡を扱える医師を○人から○人に増やすとともに、エアロゾル対策を行った部屋を○室用意し、今後購入予定の気管支鏡を活用する環境を整えた。新たに○台の整備を行うことで、1日あたり○人の患者に対応できるようになることから、今回事前協議するものである。</t>
    <rPh sb="7" eb="11">
      <t>カクホビョウショウ</t>
    </rPh>
    <rPh sb="12" eb="13">
      <t>ショウ</t>
    </rPh>
    <rPh sb="14" eb="15">
      <t>タイ</t>
    </rPh>
    <rPh sb="17" eb="21">
      <t>キカンシキョウ</t>
    </rPh>
    <rPh sb="22" eb="23">
      <t>ダイ</t>
    </rPh>
    <rPh sb="24" eb="26">
      <t>タイオウ</t>
    </rPh>
    <rPh sb="31" eb="32">
      <t>ダイ</t>
    </rPh>
    <rPh sb="33" eb="34">
      <t>ナミ</t>
    </rPh>
    <rPh sb="37" eb="39">
      <t>カンジャ</t>
    </rPh>
    <rPh sb="40" eb="42">
      <t>ウケイ</t>
    </rPh>
    <rPh sb="43" eb="45">
      <t>ジョウキョウ</t>
    </rPh>
    <rPh sb="47" eb="49">
      <t>コンゴ</t>
    </rPh>
    <rPh sb="49" eb="53">
      <t>キカンシキョウ</t>
    </rPh>
    <rPh sb="54" eb="55">
      <t>モチ</t>
    </rPh>
    <rPh sb="57" eb="59">
      <t>チリョウ</t>
    </rPh>
    <rPh sb="61" eb="62">
      <t>ニチ</t>
    </rPh>
    <rPh sb="66" eb="67">
      <t>ニン</t>
    </rPh>
    <rPh sb="68" eb="70">
      <t>カンジャ</t>
    </rPh>
    <rPh sb="71" eb="72">
      <t>タイ</t>
    </rPh>
    <rPh sb="74" eb="75">
      <t>オコナ</t>
    </rPh>
    <rPh sb="76" eb="78">
      <t>ヒツヨウ</t>
    </rPh>
    <rPh sb="78" eb="79">
      <t>セイ</t>
    </rPh>
    <rPh sb="80" eb="82">
      <t>ミコ</t>
    </rPh>
    <rPh sb="87" eb="89">
      <t>シヨウ</t>
    </rPh>
    <rPh sb="92" eb="94">
      <t>ショウドク</t>
    </rPh>
    <rPh sb="96" eb="98">
      <t>ヒツヨウ</t>
    </rPh>
    <rPh sb="106" eb="108">
      <t>ゲンザイ</t>
    </rPh>
    <rPh sb="109" eb="113">
      <t>ホユウダイスウ</t>
    </rPh>
    <rPh sb="116" eb="117">
      <t>ニチ</t>
    </rPh>
    <rPh sb="121" eb="122">
      <t>ニン</t>
    </rPh>
    <rPh sb="123" eb="125">
      <t>タイオウ</t>
    </rPh>
    <rPh sb="136" eb="138">
      <t>カンジャ</t>
    </rPh>
    <rPh sb="139" eb="141">
      <t>チリョウ</t>
    </rPh>
    <rPh sb="142" eb="144">
      <t>シショウ</t>
    </rPh>
    <rPh sb="148" eb="149">
      <t>オソ</t>
    </rPh>
    <rPh sb="161" eb="163">
      <t>トウイン</t>
    </rPh>
    <rPh sb="177" eb="179">
      <t>イシ</t>
    </rPh>
    <rPh sb="200" eb="202">
      <t>タイサク</t>
    </rPh>
    <rPh sb="203" eb="204">
      <t>オコナ</t>
    </rPh>
    <rPh sb="206" eb="208">
      <t>ヘヤ</t>
    </rPh>
    <rPh sb="210" eb="211">
      <t>シツ</t>
    </rPh>
    <rPh sb="211" eb="213">
      <t>ヨウイ</t>
    </rPh>
    <rPh sb="215" eb="217">
      <t>コンゴ</t>
    </rPh>
    <rPh sb="219" eb="221">
      <t>ヨテイ</t>
    </rPh>
    <rPh sb="238" eb="239">
      <t>アラ</t>
    </rPh>
    <rPh sb="254" eb="255">
      <t>ニチ</t>
    </rPh>
    <rPh sb="258" eb="260">
      <t>マルニン</t>
    </rPh>
    <rPh sb="261" eb="263">
      <t>カンジャ</t>
    </rPh>
    <rPh sb="264" eb="266">
      <t>タイオウ</t>
    </rPh>
    <rPh sb="279" eb="281">
      <t>コンカイ</t>
    </rPh>
    <rPh sb="281" eb="283">
      <t>ジゼン</t>
    </rPh>
    <rPh sb="283" eb="285">
      <t>キョウギ</t>
    </rPh>
    <phoneticPr fontId="5"/>
  </si>
  <si>
    <t>（例）当院は重点医療機関として特に重篤な呼吸器不全等の症状を呈する患者の受け入れを行っている。直近の第７波で主流であったオミクロンBA５は弱毒化した変異株であると言われているが、当院に搬送される患者の多くが高齢者及びコロナ感染が重態化を引き起こしかねないステージ○以上のがん患者等で占められており、既存のECMOでは台数が足りず、遠隔地の重点医療機関への協力の要請をせざるを得ない状況が生じた。（該当ケースの日付はじめ経緯については別紙のとおり。）ついてはこれまで生じた受け入れを断らざるを得なかったケース実績を踏まえ、○台を新たに未整備の確保病床に整備することとしたい。</t>
    <rPh sb="1" eb="2">
      <t>レイ</t>
    </rPh>
    <rPh sb="3" eb="5">
      <t>トウイン</t>
    </rPh>
    <rPh sb="6" eb="8">
      <t>ジュウテン</t>
    </rPh>
    <rPh sb="8" eb="10">
      <t>イリョウ</t>
    </rPh>
    <rPh sb="10" eb="12">
      <t>キカン</t>
    </rPh>
    <rPh sb="15" eb="16">
      <t>トク</t>
    </rPh>
    <rPh sb="17" eb="19">
      <t>ジュウトク</t>
    </rPh>
    <rPh sb="20" eb="23">
      <t>コキュウキ</t>
    </rPh>
    <rPh sb="23" eb="25">
      <t>フゼン</t>
    </rPh>
    <rPh sb="25" eb="26">
      <t>トウ</t>
    </rPh>
    <rPh sb="27" eb="29">
      <t>ショウジョウ</t>
    </rPh>
    <rPh sb="30" eb="31">
      <t>テイ</t>
    </rPh>
    <rPh sb="33" eb="35">
      <t>カンジャ</t>
    </rPh>
    <rPh sb="36" eb="37">
      <t>ウ</t>
    </rPh>
    <rPh sb="38" eb="39">
      <t>イ</t>
    </rPh>
    <rPh sb="41" eb="42">
      <t>オコナ</t>
    </rPh>
    <rPh sb="47" eb="49">
      <t>チョッキン</t>
    </rPh>
    <rPh sb="50" eb="51">
      <t>ダイ</t>
    </rPh>
    <rPh sb="52" eb="53">
      <t>ナミ</t>
    </rPh>
    <rPh sb="54" eb="56">
      <t>シュリュウ</t>
    </rPh>
    <rPh sb="69" eb="72">
      <t>ジャクドクカ</t>
    </rPh>
    <rPh sb="74" eb="76">
      <t>ヘンイ</t>
    </rPh>
    <rPh sb="76" eb="77">
      <t>カブ</t>
    </rPh>
    <rPh sb="81" eb="82">
      <t>イ</t>
    </rPh>
    <rPh sb="89" eb="91">
      <t>トウイン</t>
    </rPh>
    <rPh sb="92" eb="94">
      <t>ハンソウ</t>
    </rPh>
    <rPh sb="97" eb="99">
      <t>カンジャ</t>
    </rPh>
    <rPh sb="100" eb="101">
      <t>オオ</t>
    </rPh>
    <rPh sb="103" eb="106">
      <t>コウレイシャ</t>
    </rPh>
    <rPh sb="106" eb="107">
      <t>オヨ</t>
    </rPh>
    <rPh sb="111" eb="113">
      <t>カンセン</t>
    </rPh>
    <rPh sb="114" eb="116">
      <t>ジュウタイ</t>
    </rPh>
    <rPh sb="116" eb="117">
      <t>カ</t>
    </rPh>
    <rPh sb="118" eb="119">
      <t>ヒ</t>
    </rPh>
    <rPh sb="120" eb="121">
      <t>オ</t>
    </rPh>
    <rPh sb="132" eb="134">
      <t>イジョウ</t>
    </rPh>
    <rPh sb="137" eb="139">
      <t>カンジャ</t>
    </rPh>
    <rPh sb="139" eb="140">
      <t>トウ</t>
    </rPh>
    <rPh sb="141" eb="142">
      <t>シ</t>
    </rPh>
    <rPh sb="149" eb="151">
      <t>キソン</t>
    </rPh>
    <rPh sb="158" eb="160">
      <t>ダイスウ</t>
    </rPh>
    <rPh sb="161" eb="162">
      <t>タ</t>
    </rPh>
    <rPh sb="165" eb="167">
      <t>エンカク</t>
    </rPh>
    <rPh sb="167" eb="168">
      <t>チ</t>
    </rPh>
    <rPh sb="169" eb="171">
      <t>ジュウテン</t>
    </rPh>
    <rPh sb="171" eb="173">
      <t>イリョウ</t>
    </rPh>
    <rPh sb="173" eb="175">
      <t>キカン</t>
    </rPh>
    <rPh sb="177" eb="179">
      <t>キョウリョク</t>
    </rPh>
    <rPh sb="180" eb="182">
      <t>ヨウセイ</t>
    </rPh>
    <rPh sb="187" eb="188">
      <t>エ</t>
    </rPh>
    <rPh sb="190" eb="192">
      <t>ジョウキョウ</t>
    </rPh>
    <rPh sb="193" eb="194">
      <t>ショウ</t>
    </rPh>
    <rPh sb="198" eb="200">
      <t>ガイトウ</t>
    </rPh>
    <rPh sb="204" eb="206">
      <t>ヒヅケ</t>
    </rPh>
    <rPh sb="209" eb="211">
      <t>ケイイ</t>
    </rPh>
    <rPh sb="216" eb="218">
      <t>ベッシ</t>
    </rPh>
    <rPh sb="232" eb="233">
      <t>ショウ</t>
    </rPh>
    <rPh sb="235" eb="236">
      <t>ウ</t>
    </rPh>
    <rPh sb="237" eb="238">
      <t>イ</t>
    </rPh>
    <rPh sb="240" eb="241">
      <t>コトワ</t>
    </rPh>
    <rPh sb="245" eb="246">
      <t>エ</t>
    </rPh>
    <rPh sb="253" eb="255">
      <t>ジッセキ</t>
    </rPh>
    <rPh sb="256" eb="257">
      <t>フ</t>
    </rPh>
    <rPh sb="261" eb="262">
      <t>ダイ</t>
    </rPh>
    <rPh sb="263" eb="264">
      <t>アラ</t>
    </rPh>
    <rPh sb="266" eb="269">
      <t>ミセイビ</t>
    </rPh>
    <rPh sb="270" eb="272">
      <t>カクホ</t>
    </rPh>
    <rPh sb="272" eb="274">
      <t>ビョウショウ</t>
    </rPh>
    <rPh sb="275" eb="277">
      <t>セイビ</t>
    </rPh>
    <phoneticPr fontId="5"/>
  </si>
  <si>
    <t>（例）当院は確保病床数が〇○床と多いこと、入院患者の多くが移動の際の身体介助あるいは体位変換を必要とする高齢者であり、入院支援を行う医療スタッフへの負担の状態化が問題となっていた。
　上記対応に加えて、飛沫や吐瀉物の処理に伴う消毒作業が大きな負担となっており、これを軽減する上で装置の配備が有効であると判断したことから、○台の整備にあたり本補助金を活用することとしたい。</t>
    <rPh sb="1" eb="2">
      <t>レイ</t>
    </rPh>
    <rPh sb="3" eb="5">
      <t>トウイン</t>
    </rPh>
    <rPh sb="6" eb="8">
      <t>カクホ</t>
    </rPh>
    <rPh sb="8" eb="10">
      <t>ビョウショウ</t>
    </rPh>
    <rPh sb="10" eb="11">
      <t>スウ</t>
    </rPh>
    <rPh sb="14" eb="15">
      <t>ユカ</t>
    </rPh>
    <rPh sb="16" eb="17">
      <t>オオ</t>
    </rPh>
    <rPh sb="21" eb="23">
      <t>ニュウイン</t>
    </rPh>
    <rPh sb="23" eb="25">
      <t>カンジャ</t>
    </rPh>
    <rPh sb="26" eb="27">
      <t>オオ</t>
    </rPh>
    <rPh sb="29" eb="31">
      <t>イドウ</t>
    </rPh>
    <rPh sb="32" eb="33">
      <t>サイ</t>
    </rPh>
    <rPh sb="34" eb="36">
      <t>シンタイ</t>
    </rPh>
    <rPh sb="36" eb="38">
      <t>カイジョ</t>
    </rPh>
    <rPh sb="42" eb="46">
      <t>タイイヘンカン</t>
    </rPh>
    <rPh sb="47" eb="49">
      <t>ヒツヨウ</t>
    </rPh>
    <rPh sb="59" eb="61">
      <t>ニュウイン</t>
    </rPh>
    <rPh sb="61" eb="63">
      <t>シエン</t>
    </rPh>
    <rPh sb="64" eb="65">
      <t>オコナ</t>
    </rPh>
    <rPh sb="66" eb="68">
      <t>イリョウ</t>
    </rPh>
    <rPh sb="74" eb="76">
      <t>フタン</t>
    </rPh>
    <rPh sb="77" eb="79">
      <t>ジョウタイ</t>
    </rPh>
    <rPh sb="79" eb="80">
      <t>カ</t>
    </rPh>
    <rPh sb="81" eb="83">
      <t>モンダイ</t>
    </rPh>
    <rPh sb="92" eb="94">
      <t>ジョウキ</t>
    </rPh>
    <rPh sb="94" eb="96">
      <t>タイオウ</t>
    </rPh>
    <rPh sb="97" eb="98">
      <t>クワ</t>
    </rPh>
    <rPh sb="101" eb="103">
      <t>ヒマツ</t>
    </rPh>
    <rPh sb="104" eb="106">
      <t>トシャ</t>
    </rPh>
    <rPh sb="106" eb="107">
      <t>ブツ</t>
    </rPh>
    <rPh sb="108" eb="110">
      <t>ショリ</t>
    </rPh>
    <rPh sb="111" eb="112">
      <t>トモナ</t>
    </rPh>
    <rPh sb="113" eb="115">
      <t>ショウドク</t>
    </rPh>
    <rPh sb="115" eb="117">
      <t>サギョウ</t>
    </rPh>
    <rPh sb="118" eb="119">
      <t>オオ</t>
    </rPh>
    <rPh sb="121" eb="123">
      <t>フタン</t>
    </rPh>
    <rPh sb="133" eb="135">
      <t>ケイゲン</t>
    </rPh>
    <rPh sb="137" eb="138">
      <t>ウエ</t>
    </rPh>
    <rPh sb="139" eb="141">
      <t>ソウチ</t>
    </rPh>
    <rPh sb="142" eb="144">
      <t>ハイビ</t>
    </rPh>
    <rPh sb="145" eb="147">
      <t>ユウコウ</t>
    </rPh>
    <rPh sb="151" eb="153">
      <t>ハンダン</t>
    </rPh>
    <rPh sb="161" eb="162">
      <t>ダイ</t>
    </rPh>
    <rPh sb="163" eb="165">
      <t>セイビ</t>
    </rPh>
    <rPh sb="169" eb="170">
      <t>ホン</t>
    </rPh>
    <rPh sb="170" eb="173">
      <t>ホジョキン</t>
    </rPh>
    <rPh sb="174" eb="176">
      <t>カツヨウ</t>
    </rPh>
    <phoneticPr fontId="5"/>
  </si>
  <si>
    <t>（例）当院は総合病院として１病棟を重点病床として指定を受けているが、入院患者の肺炎・消化器症状を撮影するためのCT撮影装置は確保病床とは別棟にある撮影室までの移動を要した。移動にあたっては隔離搬送用のストレッチャーを使用していたが、別棟への移動の負担及び一般入院患者からの院内感染への懸念の声が上がっているのも事実としてあるため、CT室を新たに重点病床病棟に新設し、コロナ専用CT撮影機を配備することとしたい。</t>
    <rPh sb="1" eb="2">
      <t>レイ</t>
    </rPh>
    <rPh sb="3" eb="5">
      <t>トウイン</t>
    </rPh>
    <rPh sb="6" eb="8">
      <t>ソウゴウ</t>
    </rPh>
    <rPh sb="8" eb="10">
      <t>ビョウイン</t>
    </rPh>
    <rPh sb="14" eb="16">
      <t>ビョウトウ</t>
    </rPh>
    <rPh sb="17" eb="19">
      <t>ジュウテン</t>
    </rPh>
    <rPh sb="19" eb="21">
      <t>ビョウショウ</t>
    </rPh>
    <rPh sb="24" eb="26">
      <t>シテイ</t>
    </rPh>
    <rPh sb="27" eb="28">
      <t>ウ</t>
    </rPh>
    <rPh sb="34" eb="36">
      <t>ニュウイン</t>
    </rPh>
    <rPh sb="36" eb="38">
      <t>カンジャ</t>
    </rPh>
    <rPh sb="39" eb="41">
      <t>ハイエン</t>
    </rPh>
    <rPh sb="42" eb="45">
      <t>ショウカキ</t>
    </rPh>
    <rPh sb="45" eb="47">
      <t>ショウジョウ</t>
    </rPh>
    <rPh sb="48" eb="50">
      <t>サツエイ</t>
    </rPh>
    <rPh sb="57" eb="59">
      <t>サツエイ</t>
    </rPh>
    <rPh sb="59" eb="61">
      <t>ソウチ</t>
    </rPh>
    <rPh sb="62" eb="64">
      <t>カクホ</t>
    </rPh>
    <rPh sb="64" eb="66">
      <t>ビョウショウ</t>
    </rPh>
    <rPh sb="167" eb="168">
      <t>シツ</t>
    </rPh>
    <rPh sb="169" eb="170">
      <t>アラ</t>
    </rPh>
    <rPh sb="172" eb="174">
      <t>ジュウテン</t>
    </rPh>
    <rPh sb="174" eb="176">
      <t>ビョウショウ</t>
    </rPh>
    <rPh sb="176" eb="178">
      <t>ビョウトウ</t>
    </rPh>
    <rPh sb="179" eb="181">
      <t>シンセツ</t>
    </rPh>
    <rPh sb="186" eb="188">
      <t>センヨウ</t>
    </rPh>
    <rPh sb="190" eb="193">
      <t>サツエイキ</t>
    </rPh>
    <rPh sb="194" eb="196">
      <t>ハイビ</t>
    </rPh>
    <phoneticPr fontId="5"/>
  </si>
  <si>
    <t>（例）当院は重点医療機関として指定を受ける以前から透析患者の入院受け入れを行っており、これまで透析患者の病床をコロナ病床に転換して対応を行ってきた。この度の第７波の感染拡大により、当院が透析患者の受け入れのため確保している病床数を超える入院受け入れ要請が生じ、近隣の医療機関に受け入れ協力をせざるを得ない状況が生じた。こうした受け入れ要請も感染者数の増加に伴い圏域内の医療機関でも対応が難しくなり、遠隔の医療機関への搬送事例が生じたことから、こうした事態を未然に防ぐため、新たに○台の追加整備を行うこととしたい。（整備台数の検討にあたってのピーク時の陽性患者数の推移及び受け入れ要請を断らざるを得なかったケースの詳細については別紙のとおり。）</t>
    <rPh sb="1" eb="2">
      <t>レイ</t>
    </rPh>
    <rPh sb="6" eb="8">
      <t>ジュウテン</t>
    </rPh>
    <rPh sb="8" eb="10">
      <t>イリョウ</t>
    </rPh>
    <rPh sb="10" eb="12">
      <t>キカン</t>
    </rPh>
    <rPh sb="15" eb="17">
      <t>シテイ</t>
    </rPh>
    <rPh sb="18" eb="19">
      <t>ウ</t>
    </rPh>
    <rPh sb="21" eb="23">
      <t>イゼン</t>
    </rPh>
    <rPh sb="25" eb="27">
      <t>トウセキ</t>
    </rPh>
    <rPh sb="27" eb="29">
      <t>カンジャ</t>
    </rPh>
    <rPh sb="30" eb="32">
      <t>ニュウイン</t>
    </rPh>
    <rPh sb="32" eb="33">
      <t>ウ</t>
    </rPh>
    <rPh sb="34" eb="35">
      <t>イ</t>
    </rPh>
    <rPh sb="37" eb="38">
      <t>オコナ</t>
    </rPh>
    <rPh sb="47" eb="49">
      <t>トウセキ</t>
    </rPh>
    <rPh sb="49" eb="51">
      <t>カンジャ</t>
    </rPh>
    <rPh sb="52" eb="54">
      <t>ビョウショウ</t>
    </rPh>
    <rPh sb="58" eb="60">
      <t>ビョウショウ</t>
    </rPh>
    <rPh sb="61" eb="63">
      <t>テンカン</t>
    </rPh>
    <rPh sb="65" eb="67">
      <t>タイオウ</t>
    </rPh>
    <rPh sb="68" eb="69">
      <t>オコナ</t>
    </rPh>
    <rPh sb="76" eb="77">
      <t>タビ</t>
    </rPh>
    <rPh sb="78" eb="79">
      <t>ダイ</t>
    </rPh>
    <rPh sb="80" eb="81">
      <t>ナミ</t>
    </rPh>
    <rPh sb="82" eb="84">
      <t>カンセン</t>
    </rPh>
    <rPh sb="84" eb="86">
      <t>カクダイ</t>
    </rPh>
    <rPh sb="90" eb="92">
      <t>トウイン</t>
    </rPh>
    <rPh sb="93" eb="95">
      <t>トウセキ</t>
    </rPh>
    <rPh sb="95" eb="97">
      <t>カンジャ</t>
    </rPh>
    <rPh sb="98" eb="99">
      <t>ウ</t>
    </rPh>
    <rPh sb="100" eb="101">
      <t>イ</t>
    </rPh>
    <rPh sb="105" eb="107">
      <t>カクホ</t>
    </rPh>
    <rPh sb="111" eb="113">
      <t>ビョウショウ</t>
    </rPh>
    <rPh sb="113" eb="114">
      <t>スウ</t>
    </rPh>
    <rPh sb="115" eb="116">
      <t>コ</t>
    </rPh>
    <rPh sb="118" eb="120">
      <t>ニュウイン</t>
    </rPh>
    <rPh sb="120" eb="121">
      <t>ウ</t>
    </rPh>
    <rPh sb="122" eb="123">
      <t>イ</t>
    </rPh>
    <rPh sb="124" eb="126">
      <t>ヨウセイ</t>
    </rPh>
    <rPh sb="127" eb="128">
      <t>ショウ</t>
    </rPh>
    <rPh sb="130" eb="132">
      <t>キンリン</t>
    </rPh>
    <rPh sb="133" eb="135">
      <t>イリョウ</t>
    </rPh>
    <rPh sb="135" eb="137">
      <t>キカン</t>
    </rPh>
    <rPh sb="138" eb="139">
      <t>ウ</t>
    </rPh>
    <rPh sb="140" eb="141">
      <t>イ</t>
    </rPh>
    <rPh sb="142" eb="144">
      <t>キョウリョク</t>
    </rPh>
    <rPh sb="149" eb="150">
      <t>エ</t>
    </rPh>
    <rPh sb="152" eb="154">
      <t>ジョウキョウ</t>
    </rPh>
    <rPh sb="155" eb="156">
      <t>ショウ</t>
    </rPh>
    <rPh sb="163" eb="164">
      <t>ウ</t>
    </rPh>
    <rPh sb="165" eb="166">
      <t>イ</t>
    </rPh>
    <rPh sb="167" eb="169">
      <t>ヨウセイ</t>
    </rPh>
    <rPh sb="170" eb="173">
      <t>カンセンシャ</t>
    </rPh>
    <rPh sb="173" eb="174">
      <t>スウ</t>
    </rPh>
    <rPh sb="175" eb="177">
      <t>ゾウカ</t>
    </rPh>
    <rPh sb="178" eb="179">
      <t>トモナ</t>
    </rPh>
    <rPh sb="180" eb="182">
      <t>ケンイキ</t>
    </rPh>
    <rPh sb="182" eb="183">
      <t>ナイ</t>
    </rPh>
    <rPh sb="184" eb="186">
      <t>イリョウ</t>
    </rPh>
    <rPh sb="186" eb="188">
      <t>キカン</t>
    </rPh>
    <rPh sb="190" eb="192">
      <t>タイオウ</t>
    </rPh>
    <rPh sb="193" eb="194">
      <t>ムズカ</t>
    </rPh>
    <rPh sb="199" eb="201">
      <t>エンカク</t>
    </rPh>
    <rPh sb="202" eb="204">
      <t>イリョウ</t>
    </rPh>
    <rPh sb="204" eb="206">
      <t>キカン</t>
    </rPh>
    <rPh sb="208" eb="210">
      <t>ハンソウ</t>
    </rPh>
    <rPh sb="210" eb="212">
      <t>ジレイ</t>
    </rPh>
    <rPh sb="213" eb="214">
      <t>ショウ</t>
    </rPh>
    <rPh sb="225" eb="227">
      <t>ジタイ</t>
    </rPh>
    <rPh sb="228" eb="230">
      <t>ミゼン</t>
    </rPh>
    <rPh sb="231" eb="232">
      <t>フセ</t>
    </rPh>
    <rPh sb="236" eb="237">
      <t>アラ</t>
    </rPh>
    <rPh sb="240" eb="241">
      <t>ダイ</t>
    </rPh>
    <rPh sb="242" eb="244">
      <t>ツイカ</t>
    </rPh>
    <rPh sb="244" eb="246">
      <t>セイビ</t>
    </rPh>
    <rPh sb="247" eb="248">
      <t>オコナ</t>
    </rPh>
    <rPh sb="257" eb="259">
      <t>セイビ</t>
    </rPh>
    <rPh sb="259" eb="261">
      <t>ダイスウ</t>
    </rPh>
    <rPh sb="262" eb="264">
      <t>ケントウ</t>
    </rPh>
    <rPh sb="273" eb="274">
      <t>ジ</t>
    </rPh>
    <rPh sb="275" eb="277">
      <t>ヨウセイ</t>
    </rPh>
    <rPh sb="277" eb="279">
      <t>カンジャ</t>
    </rPh>
    <rPh sb="279" eb="280">
      <t>スウ</t>
    </rPh>
    <rPh sb="281" eb="283">
      <t>スイイ</t>
    </rPh>
    <rPh sb="283" eb="284">
      <t>オヨ</t>
    </rPh>
    <rPh sb="285" eb="286">
      <t>ウ</t>
    </rPh>
    <rPh sb="287" eb="288">
      <t>イ</t>
    </rPh>
    <rPh sb="289" eb="291">
      <t>ヨウセイ</t>
    </rPh>
    <rPh sb="292" eb="293">
      <t>コトワ</t>
    </rPh>
    <rPh sb="297" eb="298">
      <t>エ</t>
    </rPh>
    <rPh sb="306" eb="308">
      <t>ショウサイ</t>
    </rPh>
    <rPh sb="313" eb="315">
      <t>ベッシ</t>
    </rPh>
    <phoneticPr fontId="5"/>
  </si>
  <si>
    <t>補助金等に係る予算の執行の適正化に関する法律（昭和三十年法律第百七十九号）（抄）
（関係者の責務）
第三条２　補助事業者等及び間接補助事業者等は、補助金等が国民から徴収された税金その他の貴重な財源でまかなわれるものであることに留意し、法令の定及び補助金等の交付の目的又は間接補助金等の交付若しくは融通の目的に従つて誠実に補助事業等又は間接補助事業等を行うように努めなければならない。
（補助金等の交付の決定）
第六条　各省各庁の長は、補助金等の交付の申請があつたときは、当該申請に係る書類等の審査及び必要に応じて行う現地調査等により、当該申請に係る補助金等の交付が法令及び予算で定めるところに違反しないかどうか、補助事業等の目的及び内容が適正であるかどうか、金額の算定に誤がないかどうか等を調査し、補助金等を交付すべきものと認めたときは、すみやかに補助金等の交付の決定（契約の承諾の決定を含む。以下同じ。）をしなければならない。
（立入検査等）
第二十三条　各省各庁の長は、補助金等に係る予算の執行の適正を期するため必要があるときは、補助事業者等若しくは間接補助事業者等に対して報告をさせ、又は当該職員にその事務所、事業場等に立ち入り、帳簿書類その他の物件を検査させ、若しくは関係者に質問させることができる。
（事務の実施）
第二十六条　各省各庁の長は、政令で定めるところにより、補助金等の交付に関する事務の一部を各省各庁の機関に委任することができる。
２　国は、政令で定めるところにより、補助金等の交付に関する事務の一部を都道府県が行うこととすることができる。</t>
    <rPh sb="38" eb="39">
      <t>ショウ</t>
    </rPh>
    <phoneticPr fontId="5"/>
  </si>
  <si>
    <t>３．所要額内訳</t>
    <rPh sb="2" eb="4">
      <t>ショヨウ</t>
    </rPh>
    <rPh sb="4" eb="5">
      <t>ガク</t>
    </rPh>
    <rPh sb="5" eb="7">
      <t>ウチワケ</t>
    </rPh>
    <phoneticPr fontId="5"/>
  </si>
  <si>
    <t>２．整備方法</t>
    <phoneticPr fontId="5"/>
  </si>
  <si>
    <t>個人防護具　明細</t>
    <rPh sb="0" eb="2">
      <t>コジン</t>
    </rPh>
    <rPh sb="2" eb="4">
      <t>ボウゴ</t>
    </rPh>
    <rPh sb="4" eb="5">
      <t>グ</t>
    </rPh>
    <rPh sb="6" eb="8">
      <t>メイサイ</t>
    </rPh>
    <phoneticPr fontId="9"/>
  </si>
  <si>
    <t>合計</t>
    <rPh sb="0" eb="1">
      <t>ゴウ</t>
    </rPh>
    <phoneticPr fontId="9"/>
  </si>
  <si>
    <t>１．はじめに</t>
    <phoneticPr fontId="9"/>
  </si>
  <si>
    <t>従事日数</t>
    <rPh sb="0" eb="2">
      <t>ジュウジ</t>
    </rPh>
    <rPh sb="2" eb="4">
      <t>ニッスウ</t>
    </rPh>
    <phoneticPr fontId="9"/>
  </si>
  <si>
    <t>税抜額算出</t>
    <rPh sb="0" eb="1">
      <t>ゼイ</t>
    </rPh>
    <rPh sb="1" eb="2">
      <t>ヌ</t>
    </rPh>
    <rPh sb="2" eb="3">
      <t>ガク</t>
    </rPh>
    <rPh sb="3" eb="5">
      <t>サンシュツ</t>
    </rPh>
    <phoneticPr fontId="9"/>
  </si>
  <si>
    <t>従事人数</t>
    <rPh sb="0" eb="2">
      <t>ジュウジ</t>
    </rPh>
    <rPh sb="2" eb="4">
      <t>ニンズウ</t>
    </rPh>
    <phoneticPr fontId="9"/>
  </si>
  <si>
    <t>ここに入力</t>
    <rPh sb="3" eb="5">
      <t>ニュウリョク</t>
    </rPh>
    <phoneticPr fontId="9"/>
  </si>
  <si>
    <t>←こちらに税込の単価を入力すると下段に税抜の額が自動で表示されます。</t>
    <phoneticPr fontId="9"/>
  </si>
  <si>
    <t>補助対象員数</t>
    <rPh sb="0" eb="2">
      <t>ホジョ</t>
    </rPh>
    <rPh sb="2" eb="4">
      <t>タイショウ</t>
    </rPh>
    <rPh sb="4" eb="6">
      <t>インズウ</t>
    </rPh>
    <phoneticPr fontId="9"/>
  </si>
  <si>
    <t>税抜額</t>
    <rPh sb="0" eb="1">
      <t>ゼイ</t>
    </rPh>
    <rPh sb="1" eb="2">
      <t>ヌ</t>
    </rPh>
    <rPh sb="2" eb="3">
      <t>ガク</t>
    </rPh>
    <phoneticPr fontId="9"/>
  </si>
  <si>
    <t>※税抜単価がわからない場合はこちらで算出してください。</t>
    <rPh sb="1" eb="3">
      <t>ゼイヌキ</t>
    </rPh>
    <rPh sb="3" eb="5">
      <t>タンカ</t>
    </rPh>
    <rPh sb="11" eb="13">
      <t>バアイ</t>
    </rPh>
    <rPh sb="18" eb="20">
      <t>サンシュツ</t>
    </rPh>
    <phoneticPr fontId="9"/>
  </si>
  <si>
    <t>２．防護具情報</t>
    <rPh sb="2" eb="4">
      <t>ボウゴ</t>
    </rPh>
    <rPh sb="4" eb="5">
      <t>グ</t>
    </rPh>
    <rPh sb="5" eb="7">
      <t>ジョウホウ</t>
    </rPh>
    <phoneticPr fontId="9"/>
  </si>
  <si>
    <t>種類</t>
    <rPh sb="0" eb="2">
      <t>シュルイ</t>
    </rPh>
    <phoneticPr fontId="9"/>
  </si>
  <si>
    <t>内容量</t>
    <rPh sb="0" eb="3">
      <t>ナイヨウリョウ</t>
    </rPh>
    <phoneticPr fontId="9"/>
  </si>
  <si>
    <t>添付書類
番号</t>
    <rPh sb="0" eb="2">
      <t>テンプ</t>
    </rPh>
    <rPh sb="2" eb="4">
      <t>ショルイ</t>
    </rPh>
    <rPh sb="5" eb="7">
      <t>バンゴウ</t>
    </rPh>
    <phoneticPr fontId="9"/>
  </si>
  <si>
    <t>※県記入欄</t>
    <rPh sb="1" eb="2">
      <t>ケン</t>
    </rPh>
    <rPh sb="2" eb="4">
      <t>キニュウ</t>
    </rPh>
    <rPh sb="4" eb="5">
      <t>ラン</t>
    </rPh>
    <phoneticPr fontId="9"/>
  </si>
  <si>
    <t>項目</t>
    <rPh sb="0" eb="2">
      <t>コウモク</t>
    </rPh>
    <phoneticPr fontId="9"/>
  </si>
  <si>
    <t>不備の箇所等</t>
    <rPh sb="0" eb="2">
      <t>フビ</t>
    </rPh>
    <rPh sb="3" eb="5">
      <t>カショ</t>
    </rPh>
    <rPh sb="5" eb="6">
      <t>トウ</t>
    </rPh>
    <phoneticPr fontId="9"/>
  </si>
  <si>
    <t>→</t>
    <phoneticPr fontId="9"/>
  </si>
  <si>
    <t>入力項目</t>
    <rPh sb="0" eb="2">
      <t>ニュウリョク</t>
    </rPh>
    <rPh sb="2" eb="4">
      <t>コウモク</t>
    </rPh>
    <phoneticPr fontId="9"/>
  </si>
  <si>
    <t>←入力の過程で記載不十分の表示がされますが、適切に入力がされると表示は解消されます。</t>
    <rPh sb="1" eb="3">
      <t>ニュウリョク</t>
    </rPh>
    <rPh sb="4" eb="6">
      <t>カテイ</t>
    </rPh>
    <rPh sb="7" eb="9">
      <t>キサイ</t>
    </rPh>
    <rPh sb="9" eb="12">
      <t>フジュウブン</t>
    </rPh>
    <rPh sb="13" eb="15">
      <t>ヒョウジ</t>
    </rPh>
    <rPh sb="22" eb="24">
      <t>テキセツ</t>
    </rPh>
    <rPh sb="25" eb="27">
      <t>ニュウリョク</t>
    </rPh>
    <rPh sb="32" eb="34">
      <t>ヒョウジ</t>
    </rPh>
    <rPh sb="35" eb="37">
      <t>カイショウ</t>
    </rPh>
    <phoneticPr fontId="9"/>
  </si>
  <si>
    <t>①「はじめに」の入力</t>
    <rPh sb="8" eb="10">
      <t>ニュウリョク</t>
    </rPh>
    <phoneticPr fontId="9"/>
  </si>
  <si>
    <t>②「防護具情報」の入力</t>
    <rPh sb="2" eb="4">
      <t>ボウゴ</t>
    </rPh>
    <rPh sb="4" eb="5">
      <t>グ</t>
    </rPh>
    <rPh sb="5" eb="7">
      <t>ジョウホウ</t>
    </rPh>
    <rPh sb="9" eb="11">
      <t>ニュウリョク</t>
    </rPh>
    <phoneticPr fontId="9"/>
  </si>
  <si>
    <t>参考）○：未記入、×：入力不十分、◎：適切に入力</t>
    <rPh sb="0" eb="2">
      <t>サンコウ</t>
    </rPh>
    <rPh sb="5" eb="8">
      <t>ミキニュウ</t>
    </rPh>
    <rPh sb="11" eb="13">
      <t>ニュウリョク</t>
    </rPh>
    <rPh sb="13" eb="16">
      <t>フジュウブン</t>
    </rPh>
    <rPh sb="19" eb="21">
      <t>テキセツ</t>
    </rPh>
    <rPh sb="22" eb="24">
      <t>ニュウリョク</t>
    </rPh>
    <phoneticPr fontId="9"/>
  </si>
  <si>
    <t>品目</t>
    <rPh sb="0" eb="2">
      <t>ヒンモク</t>
    </rPh>
    <phoneticPr fontId="9"/>
  </si>
  <si>
    <t>個数/人・日</t>
    <rPh sb="0" eb="2">
      <t>コスウ</t>
    </rPh>
    <rPh sb="3" eb="4">
      <t>ニン</t>
    </rPh>
    <rPh sb="5" eb="6">
      <t>ニチ</t>
    </rPh>
    <phoneticPr fontId="9"/>
  </si>
  <si>
    <t>マスク</t>
    <phoneticPr fontId="9"/>
  </si>
  <si>
    <t>ゴーグル</t>
    <phoneticPr fontId="9"/>
  </si>
  <si>
    <t>ガウン</t>
    <phoneticPr fontId="9"/>
  </si>
  <si>
    <t>グローブ</t>
    <phoneticPr fontId="9"/>
  </si>
  <si>
    <t>キャップ</t>
    <phoneticPr fontId="9"/>
  </si>
  <si>
    <t>フェイスシールド</t>
    <phoneticPr fontId="9"/>
  </si>
  <si>
    <t>品名（具体的な商品名。品番ではない。）</t>
    <rPh sb="0" eb="2">
      <t>ヒンメイ</t>
    </rPh>
    <rPh sb="3" eb="6">
      <t>グタイテキ</t>
    </rPh>
    <rPh sb="7" eb="10">
      <t>ショウヒンメイ</t>
    </rPh>
    <rPh sb="11" eb="13">
      <t>ヒンバン</t>
    </rPh>
    <phoneticPr fontId="9"/>
  </si>
  <si>
    <t>　上記に基づき、補助金交付に係る申請にあたっては、本書に基づく県との協議の結果を踏まえ行うことを申し立てるとともに、協議において知事が補助事業等の目的及び内容に適正性を認めることができない場合においては、交付決定できない場合があることについても確認しました。</t>
    <rPh sb="1" eb="3">
      <t>ジョウキ</t>
    </rPh>
    <rPh sb="4" eb="5">
      <t>モト</t>
    </rPh>
    <rPh sb="8" eb="11">
      <t>ホジョキン</t>
    </rPh>
    <rPh sb="11" eb="13">
      <t>コウフ</t>
    </rPh>
    <rPh sb="14" eb="15">
      <t>カカ</t>
    </rPh>
    <rPh sb="16" eb="18">
      <t>シンセイ</t>
    </rPh>
    <rPh sb="25" eb="27">
      <t>ホンショ</t>
    </rPh>
    <rPh sb="28" eb="29">
      <t>モト</t>
    </rPh>
    <rPh sb="31" eb="32">
      <t>ケン</t>
    </rPh>
    <rPh sb="34" eb="36">
      <t>キョウギ</t>
    </rPh>
    <rPh sb="37" eb="39">
      <t>ケッカ</t>
    </rPh>
    <rPh sb="40" eb="41">
      <t>フ</t>
    </rPh>
    <rPh sb="43" eb="44">
      <t>オコナ</t>
    </rPh>
    <rPh sb="48" eb="49">
      <t>モウ</t>
    </rPh>
    <rPh sb="50" eb="51">
      <t>タ</t>
    </rPh>
    <rPh sb="58" eb="60">
      <t>キョウギ</t>
    </rPh>
    <rPh sb="64" eb="66">
      <t>チジ</t>
    </rPh>
    <rPh sb="82" eb="83">
      <t>セイ</t>
    </rPh>
    <rPh sb="84" eb="85">
      <t>ミト</t>
    </rPh>
    <rPh sb="94" eb="96">
      <t>バアイ</t>
    </rPh>
    <rPh sb="102" eb="104">
      <t>コウフ</t>
    </rPh>
    <rPh sb="104" eb="106">
      <t>ケッテイ</t>
    </rPh>
    <rPh sb="110" eb="112">
      <t>バアイ</t>
    </rPh>
    <rPh sb="122" eb="124">
      <t>カクニン</t>
    </rPh>
    <phoneticPr fontId="5"/>
  </si>
  <si>
    <t>（例）整備を行う病床は新たに確保病床として指定を受けた病床であり、コロナ陽性患者を受け入れるにあたり現況では○○が具備されていない状況である。
　　入院患者への支援及び患者が生活を送る上で○○や○○といった不都合が生じる。これへの対応として○○及び○○の整備により対応することとしたい。</t>
    <phoneticPr fontId="5"/>
  </si>
  <si>
    <t>（例）これまで確保病床全○床の内、○床分について人工呼吸器が配備されており、第７波以前は既存配備で充足できていた。
　しかし第○波では付近の高齢者施設で集団感染が発生し人工呼吸器の使用が必要な患者が多数発生、満床ではない中で配備数の限界から断らざるを得ない事態が生じた。
　感染者数が落ち着いた現在においても、重篤な呼吸器症状を抱えた高齢者の入院受け入れの件数増加が以前に増して顕著な傾向が見られ、配備されている人工呼吸器はそのほぼ全てが稼働状態であり、呼吸困難症状を呈する入院患者の新規受け入れ要請が今後あった場合断らざるを得ないことを鑑み、過去の受け入れ困難時の状況を踏まえ○台の追加整備を行いたい。</t>
    <rPh sb="7" eb="9">
      <t>カクホ</t>
    </rPh>
    <rPh sb="9" eb="11">
      <t>ビョウショウ</t>
    </rPh>
    <rPh sb="11" eb="12">
      <t>ゼン</t>
    </rPh>
    <rPh sb="13" eb="14">
      <t>ユカ</t>
    </rPh>
    <rPh sb="15" eb="16">
      <t>ウチ</t>
    </rPh>
    <rPh sb="18" eb="19">
      <t>ユカ</t>
    </rPh>
    <rPh sb="19" eb="20">
      <t>ブン</t>
    </rPh>
    <rPh sb="24" eb="26">
      <t>ジンコウ</t>
    </rPh>
    <rPh sb="26" eb="29">
      <t>コキュウキ</t>
    </rPh>
    <rPh sb="30" eb="32">
      <t>ハイビ</t>
    </rPh>
    <rPh sb="38" eb="39">
      <t>ダイ</t>
    </rPh>
    <rPh sb="40" eb="41">
      <t>ナミ</t>
    </rPh>
    <rPh sb="41" eb="43">
      <t>イゼン</t>
    </rPh>
    <rPh sb="44" eb="46">
      <t>キソン</t>
    </rPh>
    <rPh sb="46" eb="48">
      <t>ハイビ</t>
    </rPh>
    <rPh sb="49" eb="51">
      <t>ジュウソク</t>
    </rPh>
    <rPh sb="62" eb="63">
      <t>ダイ</t>
    </rPh>
    <rPh sb="64" eb="65">
      <t>ナミ</t>
    </rPh>
    <rPh sb="67" eb="69">
      <t>フキン</t>
    </rPh>
    <rPh sb="70" eb="73">
      <t>コウレイシャ</t>
    </rPh>
    <rPh sb="73" eb="75">
      <t>シセツ</t>
    </rPh>
    <rPh sb="76" eb="78">
      <t>シュウダン</t>
    </rPh>
    <rPh sb="78" eb="80">
      <t>カンセン</t>
    </rPh>
    <rPh sb="81" eb="83">
      <t>ハッセイ</t>
    </rPh>
    <rPh sb="84" eb="86">
      <t>ジンコウ</t>
    </rPh>
    <rPh sb="86" eb="89">
      <t>コキュウキ</t>
    </rPh>
    <rPh sb="90" eb="92">
      <t>シヨウ</t>
    </rPh>
    <rPh sb="93" eb="95">
      <t>ヒツヨウ</t>
    </rPh>
    <rPh sb="96" eb="98">
      <t>カンジャ</t>
    </rPh>
    <rPh sb="99" eb="101">
      <t>タスウ</t>
    </rPh>
    <rPh sb="101" eb="103">
      <t>ハッセイ</t>
    </rPh>
    <rPh sb="104" eb="106">
      <t>マンショウ</t>
    </rPh>
    <rPh sb="110" eb="111">
      <t>ナカ</t>
    </rPh>
    <rPh sb="112" eb="114">
      <t>ハイビ</t>
    </rPh>
    <rPh sb="114" eb="115">
      <t>スウ</t>
    </rPh>
    <rPh sb="116" eb="118">
      <t>ゲンカイ</t>
    </rPh>
    <rPh sb="120" eb="121">
      <t>コトワ</t>
    </rPh>
    <rPh sb="125" eb="126">
      <t>エ</t>
    </rPh>
    <rPh sb="128" eb="130">
      <t>ジタイ</t>
    </rPh>
    <rPh sb="131" eb="132">
      <t>ショウ</t>
    </rPh>
    <rPh sb="137" eb="140">
      <t>カンセンシャ</t>
    </rPh>
    <rPh sb="140" eb="141">
      <t>スウ</t>
    </rPh>
    <rPh sb="142" eb="143">
      <t>オ</t>
    </rPh>
    <rPh sb="144" eb="145">
      <t>ツ</t>
    </rPh>
    <rPh sb="147" eb="149">
      <t>ゲンザイ</t>
    </rPh>
    <rPh sb="155" eb="157">
      <t>ジュウトク</t>
    </rPh>
    <rPh sb="158" eb="161">
      <t>コキュウキ</t>
    </rPh>
    <rPh sb="161" eb="163">
      <t>ショウジョウ</t>
    </rPh>
    <rPh sb="164" eb="165">
      <t>カカ</t>
    </rPh>
    <rPh sb="167" eb="170">
      <t>コウレイシャ</t>
    </rPh>
    <rPh sb="171" eb="173">
      <t>ニュウイン</t>
    </rPh>
    <rPh sb="173" eb="174">
      <t>ウ</t>
    </rPh>
    <rPh sb="175" eb="176">
      <t>イ</t>
    </rPh>
    <rPh sb="178" eb="180">
      <t>ケンスウ</t>
    </rPh>
    <rPh sb="180" eb="182">
      <t>ゾウカ</t>
    </rPh>
    <rPh sb="183" eb="185">
      <t>イゼン</t>
    </rPh>
    <rPh sb="186" eb="187">
      <t>マ</t>
    </rPh>
    <rPh sb="189" eb="191">
      <t>ケンチョ</t>
    </rPh>
    <rPh sb="192" eb="194">
      <t>ケイコウ</t>
    </rPh>
    <rPh sb="195" eb="196">
      <t>ミ</t>
    </rPh>
    <rPh sb="199" eb="201">
      <t>ハイビ</t>
    </rPh>
    <rPh sb="206" eb="208">
      <t>ジンコウ</t>
    </rPh>
    <rPh sb="208" eb="211">
      <t>コキュウキ</t>
    </rPh>
    <rPh sb="216" eb="217">
      <t>スベ</t>
    </rPh>
    <rPh sb="219" eb="221">
      <t>カドウ</t>
    </rPh>
    <rPh sb="221" eb="223">
      <t>ジョウタイ</t>
    </rPh>
    <rPh sb="227" eb="229">
      <t>コキュウ</t>
    </rPh>
    <rPh sb="229" eb="231">
      <t>コンナン</t>
    </rPh>
    <rPh sb="231" eb="233">
      <t>ショウジョウ</t>
    </rPh>
    <rPh sb="234" eb="235">
      <t>テイ</t>
    </rPh>
    <rPh sb="237" eb="239">
      <t>ニュウイン</t>
    </rPh>
    <rPh sb="239" eb="241">
      <t>カンジャ</t>
    </rPh>
    <rPh sb="242" eb="244">
      <t>シンキ</t>
    </rPh>
    <rPh sb="244" eb="245">
      <t>ウ</t>
    </rPh>
    <rPh sb="246" eb="247">
      <t>イ</t>
    </rPh>
    <rPh sb="248" eb="250">
      <t>ヨウセイ</t>
    </rPh>
    <rPh sb="251" eb="253">
      <t>コンゴ</t>
    </rPh>
    <rPh sb="256" eb="258">
      <t>バアイ</t>
    </rPh>
    <rPh sb="258" eb="259">
      <t>コトワ</t>
    </rPh>
    <rPh sb="263" eb="264">
      <t>エ</t>
    </rPh>
    <rPh sb="269" eb="270">
      <t>カンガ</t>
    </rPh>
    <rPh sb="272" eb="274">
      <t>カコ</t>
    </rPh>
    <rPh sb="275" eb="276">
      <t>ウ</t>
    </rPh>
    <rPh sb="277" eb="278">
      <t>イ</t>
    </rPh>
    <rPh sb="279" eb="281">
      <t>コンナン</t>
    </rPh>
    <rPh sb="281" eb="282">
      <t>ジ</t>
    </rPh>
    <rPh sb="283" eb="285">
      <t>ジョウキョウ</t>
    </rPh>
    <rPh sb="286" eb="287">
      <t>フ</t>
    </rPh>
    <rPh sb="290" eb="291">
      <t>ダイ</t>
    </rPh>
    <rPh sb="292" eb="294">
      <t>ツイカ</t>
    </rPh>
    <rPh sb="294" eb="296">
      <t>セイビ</t>
    </rPh>
    <rPh sb="297" eb="298">
      <t>オコナ</t>
    </rPh>
    <phoneticPr fontId="5"/>
  </si>
  <si>
    <t>（３）平面図（確保病床の位置、過去に本補助金を活用して整備した設備及び整備予定の設備の配備状況が判るもの。）</t>
    <rPh sb="3" eb="6">
      <t>ヘイメンズ</t>
    </rPh>
    <rPh sb="7" eb="9">
      <t>カクホ</t>
    </rPh>
    <rPh sb="9" eb="11">
      <t>ビョウショウ</t>
    </rPh>
    <rPh sb="12" eb="14">
      <t>イチ</t>
    </rPh>
    <rPh sb="15" eb="17">
      <t>カコ</t>
    </rPh>
    <rPh sb="18" eb="19">
      <t>ホン</t>
    </rPh>
    <rPh sb="19" eb="22">
      <t>ホジョキン</t>
    </rPh>
    <rPh sb="23" eb="25">
      <t>カツヨウ</t>
    </rPh>
    <rPh sb="27" eb="29">
      <t>セイビ</t>
    </rPh>
    <rPh sb="31" eb="33">
      <t>セツビ</t>
    </rPh>
    <rPh sb="33" eb="34">
      <t>オヨ</t>
    </rPh>
    <rPh sb="35" eb="37">
      <t>セイビ</t>
    </rPh>
    <rPh sb="37" eb="39">
      <t>ヨテイ</t>
    </rPh>
    <rPh sb="40" eb="42">
      <t>セツビ</t>
    </rPh>
    <rPh sb="43" eb="45">
      <t>ハイビ</t>
    </rPh>
    <rPh sb="45" eb="47">
      <t>ジョウキョウ</t>
    </rPh>
    <rPh sb="48" eb="49">
      <t>ワカ</t>
    </rPh>
    <phoneticPr fontId="5"/>
  </si>
  <si>
    <t>（例）これまで確保病床○床に対し、生体情報モニタ○台で対応してきた。生体情報のモニタリングが必要な患者は急性期の患者や、○○の所見のある患者であるが、当院は○月○日に新たに重点医療機関に指定され、これまで受入対応ができなかった当該患者を○床分受け入れることができるようになった。
　また、当院の所在する地域は高齢者等の重症化リスクの高い患者が多く、今後そのような高リスク患者の受け入れを優先的に行っていくことから、当該患者の受け入れが可能な○床について生体情報モニタでのモニタリングが必要不可欠となるため、不足分の○台を整備したい。</t>
    <rPh sb="7" eb="11">
      <t>カクホビョウショウ</t>
    </rPh>
    <rPh sb="12" eb="13">
      <t>ショウ</t>
    </rPh>
    <rPh sb="14" eb="15">
      <t>タイ</t>
    </rPh>
    <rPh sb="17" eb="21">
      <t>セイタイジョウホウ</t>
    </rPh>
    <rPh sb="25" eb="26">
      <t>ダイ</t>
    </rPh>
    <rPh sb="27" eb="29">
      <t>タイオウ</t>
    </rPh>
    <rPh sb="34" eb="38">
      <t>セイタイジョウホウ</t>
    </rPh>
    <rPh sb="46" eb="48">
      <t>ヒツヨウ</t>
    </rPh>
    <rPh sb="49" eb="51">
      <t>カンジャ</t>
    </rPh>
    <rPh sb="52" eb="55">
      <t>キュウセイキ</t>
    </rPh>
    <rPh sb="56" eb="58">
      <t>カンジャ</t>
    </rPh>
    <rPh sb="63" eb="65">
      <t>ショケン</t>
    </rPh>
    <rPh sb="68" eb="70">
      <t>カンジャ</t>
    </rPh>
    <rPh sb="75" eb="77">
      <t>トウイン</t>
    </rPh>
    <rPh sb="78" eb="80">
      <t>マルガツ</t>
    </rPh>
    <rPh sb="80" eb="82">
      <t>マルニチ</t>
    </rPh>
    <rPh sb="83" eb="84">
      <t>アラ</t>
    </rPh>
    <rPh sb="86" eb="92">
      <t>ジュウテンイリョウキカン</t>
    </rPh>
    <rPh sb="93" eb="95">
      <t>シテイ</t>
    </rPh>
    <rPh sb="102" eb="103">
      <t>ウ</t>
    </rPh>
    <rPh sb="103" eb="104">
      <t>イ</t>
    </rPh>
    <rPh sb="104" eb="106">
      <t>タイオウ</t>
    </rPh>
    <rPh sb="113" eb="115">
      <t>トウガイ</t>
    </rPh>
    <rPh sb="115" eb="117">
      <t>カンジャ</t>
    </rPh>
    <rPh sb="119" eb="120">
      <t>ショウ</t>
    </rPh>
    <rPh sb="120" eb="121">
      <t>ブン</t>
    </rPh>
    <rPh sb="121" eb="122">
      <t>ウ</t>
    </rPh>
    <rPh sb="123" eb="124">
      <t>イ</t>
    </rPh>
    <rPh sb="144" eb="146">
      <t>トウイン</t>
    </rPh>
    <rPh sb="147" eb="149">
      <t>ショザイ</t>
    </rPh>
    <rPh sb="151" eb="153">
      <t>チイキ</t>
    </rPh>
    <rPh sb="154" eb="157">
      <t>コウレイシャ</t>
    </rPh>
    <rPh sb="157" eb="158">
      <t>トウ</t>
    </rPh>
    <rPh sb="159" eb="162">
      <t>ジュウショウカ</t>
    </rPh>
    <rPh sb="166" eb="167">
      <t>タカ</t>
    </rPh>
    <rPh sb="168" eb="170">
      <t>カンジャ</t>
    </rPh>
    <rPh sb="171" eb="172">
      <t>オオ</t>
    </rPh>
    <rPh sb="174" eb="176">
      <t>コンゴ</t>
    </rPh>
    <rPh sb="181" eb="182">
      <t>コウ</t>
    </rPh>
    <rPh sb="185" eb="187">
      <t>カンジャ</t>
    </rPh>
    <rPh sb="188" eb="189">
      <t>ウ</t>
    </rPh>
    <rPh sb="190" eb="191">
      <t>イ</t>
    </rPh>
    <rPh sb="193" eb="196">
      <t>ユウセンテキ</t>
    </rPh>
    <rPh sb="197" eb="198">
      <t>オコナ</t>
    </rPh>
    <rPh sb="207" eb="209">
      <t>トウガイ</t>
    </rPh>
    <rPh sb="209" eb="211">
      <t>カンジャ</t>
    </rPh>
    <rPh sb="212" eb="213">
      <t>ウ</t>
    </rPh>
    <rPh sb="214" eb="215">
      <t>イ</t>
    </rPh>
    <rPh sb="217" eb="219">
      <t>カノウ</t>
    </rPh>
    <rPh sb="226" eb="230">
      <t>セイタイジョウホウ</t>
    </rPh>
    <rPh sb="242" eb="247">
      <t>ヒツヨウフカケツ</t>
    </rPh>
    <rPh sb="253" eb="256">
      <t>フソクブン</t>
    </rPh>
    <rPh sb="258" eb="259">
      <t>ダイ</t>
    </rPh>
    <rPh sb="260" eb="262">
      <t>セイビ</t>
    </rPh>
    <phoneticPr fontId="5"/>
  </si>
  <si>
    <t>（４）見積書の写し、カタログ等整備品目の規格（型式）、数量、単価及び金額の確認資料</t>
    <phoneticPr fontId="5"/>
  </si>
  <si>
    <t>※指定日は、「病床1:2022年8月30日、病床2:2022年10月1日…」と入力し、病床に割り振った番号は別途添付の平面図に明記してください。</t>
    <rPh sb="1" eb="4">
      <t>シテイビ</t>
    </rPh>
    <rPh sb="7" eb="9">
      <t>ビョウショウ</t>
    </rPh>
    <rPh sb="15" eb="16">
      <t>ネン</t>
    </rPh>
    <rPh sb="17" eb="18">
      <t>ガツ</t>
    </rPh>
    <rPh sb="20" eb="21">
      <t>ニチ</t>
    </rPh>
    <rPh sb="22" eb="24">
      <t>ビョウショウ</t>
    </rPh>
    <rPh sb="30" eb="31">
      <t>ネン</t>
    </rPh>
    <rPh sb="33" eb="34">
      <t>ガツ</t>
    </rPh>
    <rPh sb="35" eb="36">
      <t>ニチ</t>
    </rPh>
    <rPh sb="39" eb="41">
      <t>ニュウリョク</t>
    </rPh>
    <rPh sb="43" eb="45">
      <t>ビョウショウ</t>
    </rPh>
    <rPh sb="46" eb="47">
      <t>ワ</t>
    </rPh>
    <rPh sb="48" eb="49">
      <t>フ</t>
    </rPh>
    <rPh sb="51" eb="53">
      <t>バンゴウ</t>
    </rPh>
    <rPh sb="54" eb="56">
      <t>ベット</t>
    </rPh>
    <rPh sb="56" eb="58">
      <t>テンプ</t>
    </rPh>
    <rPh sb="59" eb="62">
      <t>ヘイメンズ</t>
    </rPh>
    <rPh sb="63" eb="65">
      <t>メイキ</t>
    </rPh>
    <phoneticPr fontId="5"/>
  </si>
  <si>
    <t>　整備をリースにより行うか、購入により行うか記入してください。
　なお、購入により整備する場合は、必ずリースによる整備を検討し、購入による整備とせざるを得ないと判断した理由を以下の欄に記入してください。（リースによる整備を検討していない及び、購入による整備とせざるを得ないとする理由が不十分と判断される場合には公費による整備に親和しないことから、交付しないこととする場合があります。）</t>
    <phoneticPr fontId="5"/>
  </si>
  <si>
    <t>（例）当院は高齢者人口を多く抱える地域に立地し、付近に高齢者施設が複数あることからこれまで、主として高齢患者を多く受け入れる傾向があった。受入患者には認知症等の老年性の精神症状を呈する者を少なからずおり、その行動特性からゾーニングは難しく、フロア全体をレッドゾーンとして取り扱わざるを得ず、職員は常にPPEを着用した状態で支援に従事せざるを得ない状況であった。
　一方で行動症状を伴わない患者も一定数いること及び、当院の確保病床は２つのフロアに分かれており、一方については全室個室でありかつトイレ・洗面も備わっていることから当該室を陰圧化し、行動症状が特段見られない患者の受け入れに供することによってフロア内をゾーニングし職員負担の軽減に繋がるのではと考えた。
　ついては、当該フロアの○室の内、確保病床として指定の○室分について陰圧機器を設置することで院内感染防止及び職員の安全確保を図ることとしたい。</t>
    <rPh sb="1" eb="2">
      <t>レイ</t>
    </rPh>
    <rPh sb="365" eb="367">
      <t>インアツ</t>
    </rPh>
    <rPh sb="367" eb="369">
      <t>キキ</t>
    </rPh>
    <rPh sb="370" eb="372">
      <t>セッチ</t>
    </rPh>
    <phoneticPr fontId="5"/>
  </si>
  <si>
    <t>（例）当院は重点医療機関として周産期妊婦の入院受け入れを行ってきたが、この度の第７波の感染拡大により、当院が陽性妊婦の受け入れのため確保している病床数を超える入院受け入れ要請が生じ、近隣の医療機関に受け入れ協力をせざるを得ない状況が生じた。圏域内の一般病床を有する病院及び有床診療所に陽性妊婦の受入協力を打診したが、そもそも医療機関が少ないことも相まり、調整は不調に終わった。今後の感染拡大を前に、遠隔の医療機関への搬送及び容態悪化を避けるためにも自院での受け入れ体制の強化が喫緊の課題となっており、新たに○台の追加整備を行うこととしたい。（整備台数の検討にあたってのピーク時の陽性患者数の推移及び受け入れ要請を断らざるを得なかったケースの詳細については別紙のとおり。）</t>
    <rPh sb="15" eb="18">
      <t>シュウサンキ</t>
    </rPh>
    <rPh sb="18" eb="20">
      <t>ニンプ</t>
    </rPh>
    <rPh sb="54" eb="56">
      <t>ヨウセイ</t>
    </rPh>
    <rPh sb="56" eb="58">
      <t>ニンプ</t>
    </rPh>
    <rPh sb="126" eb="128">
      <t>ビョウショウ</t>
    </rPh>
    <rPh sb="129" eb="130">
      <t>ユウ</t>
    </rPh>
    <rPh sb="132" eb="134">
      <t>ビョウイン</t>
    </rPh>
    <rPh sb="134" eb="135">
      <t>オヨ</t>
    </rPh>
    <rPh sb="136" eb="138">
      <t>ユウショウ</t>
    </rPh>
    <rPh sb="138" eb="141">
      <t>シンリョウジョ</t>
    </rPh>
    <rPh sb="142" eb="144">
      <t>ヨウセイ</t>
    </rPh>
    <rPh sb="144" eb="146">
      <t>ニンプ</t>
    </rPh>
    <rPh sb="147" eb="149">
      <t>ウケイレ</t>
    </rPh>
    <rPh sb="149" eb="151">
      <t>キョウリョク</t>
    </rPh>
    <rPh sb="152" eb="154">
      <t>ダシン</t>
    </rPh>
    <rPh sb="162" eb="164">
      <t>イリョウ</t>
    </rPh>
    <rPh sb="164" eb="166">
      <t>キカン</t>
    </rPh>
    <rPh sb="167" eb="168">
      <t>スク</t>
    </rPh>
    <rPh sb="173" eb="174">
      <t>アイ</t>
    </rPh>
    <rPh sb="177" eb="179">
      <t>チョウセイ</t>
    </rPh>
    <rPh sb="180" eb="182">
      <t>フチョウ</t>
    </rPh>
    <rPh sb="183" eb="184">
      <t>オ</t>
    </rPh>
    <rPh sb="188" eb="190">
      <t>コンゴ</t>
    </rPh>
    <rPh sb="191" eb="193">
      <t>カンセン</t>
    </rPh>
    <rPh sb="193" eb="195">
      <t>カクダイ</t>
    </rPh>
    <rPh sb="196" eb="197">
      <t>マエ</t>
    </rPh>
    <rPh sb="224" eb="226">
      <t>ジイン</t>
    </rPh>
    <rPh sb="228" eb="229">
      <t>ウ</t>
    </rPh>
    <rPh sb="230" eb="231">
      <t>イ</t>
    </rPh>
    <rPh sb="232" eb="234">
      <t>タイセイ</t>
    </rPh>
    <rPh sb="235" eb="237">
      <t>キョウカ</t>
    </rPh>
    <rPh sb="238" eb="240">
      <t>キッキン</t>
    </rPh>
    <rPh sb="241" eb="243">
      <t>カダイ</t>
    </rPh>
    <rPh sb="289" eb="291">
      <t>ヨウセイ</t>
    </rPh>
    <phoneticPr fontId="5"/>
  </si>
  <si>
    <t>（例）当院は重点医療機関として周産期妊婦の入院受け入れを行ってきたが、この度の第７波の感染拡大により、当院が陽性妊婦の受け入れのため確保している病床数を超える入院受け入れ要請が生じ、近隣の医療機関に受け入れ協力をせざるを得ない状況が生じた。圏域内の一般病床を有する病院及び有床診療所に陽性妊婦の受入協力を打診したが、そもそも医療機関が少ないことも相まり、調整は不調に終わった。今後の感染拡大を前に、遠隔の医療機関への搬送及び容態悪化を避けるためにも自院での受け入れ体制の強化が喫緊の課題となっており、分娩監視装置の追加とともに新生児用のモニタ設備を新たに○台の追加整備を行うこととしたい。（整備台数の検討にあたってのピーク時の陽性患者数の推移及び受け入れ要請を断らざるを得なかったケースの詳細については別紙のとおり。）</t>
    <rPh sb="54" eb="56">
      <t>ヨウセイ</t>
    </rPh>
    <rPh sb="56" eb="58">
      <t>ニンプ</t>
    </rPh>
    <rPh sb="250" eb="252">
      <t>ブンベン</t>
    </rPh>
    <rPh sb="252" eb="254">
      <t>カンシ</t>
    </rPh>
    <rPh sb="254" eb="256">
      <t>ソウチ</t>
    </rPh>
    <rPh sb="257" eb="259">
      <t>ツイカ</t>
    </rPh>
    <rPh sb="263" eb="266">
      <t>シンセイジ</t>
    </rPh>
    <rPh sb="266" eb="267">
      <t>ヨウ</t>
    </rPh>
    <rPh sb="271" eb="273">
      <t>セツビ</t>
    </rPh>
    <phoneticPr fontId="5"/>
  </si>
  <si>
    <t>変更申請</t>
    <rPh sb="0" eb="2">
      <t>ヘンコウ</t>
    </rPh>
    <rPh sb="2" eb="4">
      <t>シンセイ</t>
    </rPh>
    <phoneticPr fontId="5"/>
  </si>
  <si>
    <t>事前協議</t>
    <rPh sb="0" eb="2">
      <t>ジゼン</t>
    </rPh>
    <rPh sb="2" eb="4">
      <t>キョウギ</t>
    </rPh>
    <phoneticPr fontId="5"/>
  </si>
  <si>
    <t>交付申請（起）</t>
    <rPh sb="0" eb="2">
      <t>コウフ</t>
    </rPh>
    <rPh sb="2" eb="4">
      <t>シンセイ</t>
    </rPh>
    <rPh sb="5" eb="6">
      <t>キ</t>
    </rPh>
    <phoneticPr fontId="5"/>
  </si>
  <si>
    <t>交付申請（終）</t>
    <rPh sb="0" eb="2">
      <t>コウフ</t>
    </rPh>
    <rPh sb="2" eb="4">
      <t>シンセイ</t>
    </rPh>
    <rPh sb="5" eb="6">
      <t>オ</t>
    </rPh>
    <phoneticPr fontId="5"/>
  </si>
  <si>
    <t>変更申請（起）</t>
    <rPh sb="5" eb="6">
      <t>キ</t>
    </rPh>
    <phoneticPr fontId="5"/>
  </si>
  <si>
    <t>変更申請（終）</t>
    <rPh sb="5" eb="6">
      <t>オ</t>
    </rPh>
    <phoneticPr fontId="5"/>
  </si>
  <si>
    <t>国事業開始日</t>
    <rPh sb="3" eb="5">
      <t>カイシ</t>
    </rPh>
    <phoneticPr fontId="5"/>
  </si>
  <si>
    <t>項目</t>
    <rPh sb="0" eb="2">
      <t>コウモク</t>
    </rPh>
    <phoneticPr fontId="5"/>
  </si>
  <si>
    <t>年月日</t>
    <rPh sb="0" eb="3">
      <t>ネンガッピ</t>
    </rPh>
    <phoneticPr fontId="5"/>
  </si>
  <si>
    <t>事業</t>
    <rPh sb="0" eb="2">
      <t>ジギョウ</t>
    </rPh>
    <phoneticPr fontId="9"/>
  </si>
  <si>
    <t>品目</t>
    <rPh sb="1" eb="2">
      <t>モク</t>
    </rPh>
    <phoneticPr fontId="9"/>
  </si>
  <si>
    <t>型番</t>
    <phoneticPr fontId="9"/>
  </si>
  <si>
    <t>基準額</t>
    <phoneticPr fontId="9"/>
  </si>
  <si>
    <t>この
シート</t>
    <phoneticPr fontId="9"/>
  </si>
  <si>
    <t>別表</t>
    <rPh sb="0" eb="2">
      <t>ベッピョウ</t>
    </rPh>
    <phoneticPr fontId="9"/>
  </si>
  <si>
    <t>総合</t>
    <rPh sb="0" eb="2">
      <t>ソウゴウ</t>
    </rPh>
    <phoneticPr fontId="9"/>
  </si>
  <si>
    <t>員数</t>
    <phoneticPr fontId="9"/>
  </si>
  <si>
    <t>単価</t>
    <phoneticPr fontId="9"/>
  </si>
  <si>
    <t>金額</t>
    <phoneticPr fontId="9"/>
  </si>
  <si>
    <t>規格（型式）</t>
    <phoneticPr fontId="9"/>
  </si>
  <si>
    <t>数量</t>
    <phoneticPr fontId="9"/>
  </si>
  <si>
    <t>単価（税込）</t>
    <rPh sb="3" eb="5">
      <t>ゼイコ</t>
    </rPh>
    <phoneticPr fontId="9"/>
  </si>
  <si>
    <t>年</t>
    <rPh sb="0" eb="1">
      <t>ネン</t>
    </rPh>
    <phoneticPr fontId="3"/>
  </si>
  <si>
    <t>月</t>
    <rPh sb="0" eb="1">
      <t>ツキ</t>
    </rPh>
    <phoneticPr fontId="3"/>
  </si>
  <si>
    <t>月</t>
    <rPh sb="0" eb="1">
      <t>ツキ</t>
    </rPh>
    <phoneticPr fontId="9"/>
  </si>
  <si>
    <t>日</t>
    <rPh sb="0" eb="1">
      <t>ヒ</t>
    </rPh>
    <phoneticPr fontId="3"/>
  </si>
  <si>
    <t>日</t>
    <rPh sb="0" eb="1">
      <t>ヒ</t>
    </rPh>
    <phoneticPr fontId="9"/>
  </si>
  <si>
    <t>円</t>
    <rPh sb="0" eb="1">
      <t>エン</t>
    </rPh>
    <phoneticPr fontId="9"/>
  </si>
  <si>
    <t>入院医療機関設備整備事業（１）</t>
    <rPh sb="0" eb="2">
      <t>ニュウイン</t>
    </rPh>
    <rPh sb="2" eb="4">
      <t>イリョウ</t>
    </rPh>
    <rPh sb="4" eb="6">
      <t>キカン</t>
    </rPh>
    <rPh sb="6" eb="8">
      <t>セツビ</t>
    </rPh>
    <rPh sb="8" eb="10">
      <t>セイビ</t>
    </rPh>
    <rPh sb="10" eb="12">
      <t>ジギョウ</t>
    </rPh>
    <phoneticPr fontId="9"/>
  </si>
  <si>
    <t>初度設備</t>
    <rPh sb="0" eb="2">
      <t>ショド</t>
    </rPh>
    <rPh sb="2" eb="4">
      <t>セツビ</t>
    </rPh>
    <phoneticPr fontId="3"/>
  </si>
  <si>
    <t>人工呼吸器</t>
    <rPh sb="0" eb="2">
      <t>ジンコウ</t>
    </rPh>
    <rPh sb="2" eb="5">
      <t>コキュウキ</t>
    </rPh>
    <phoneticPr fontId="3"/>
  </si>
  <si>
    <t>令和</t>
  </si>
  <si>
    <t>個人防護具</t>
    <phoneticPr fontId="9"/>
  </si>
  <si>
    <t>簡易陰圧装置</t>
    <rPh sb="0" eb="2">
      <t>カンイ</t>
    </rPh>
    <rPh sb="2" eb="3">
      <t>イン</t>
    </rPh>
    <rPh sb="3" eb="4">
      <t>アツ</t>
    </rPh>
    <rPh sb="4" eb="6">
      <t>ソウチ</t>
    </rPh>
    <phoneticPr fontId="9"/>
  </si>
  <si>
    <t>簡易ベッド</t>
    <phoneticPr fontId="9"/>
  </si>
  <si>
    <t>体外式膜型人工肺</t>
    <rPh sb="0" eb="3">
      <t>タイガイシキ</t>
    </rPh>
    <rPh sb="3" eb="4">
      <t>マク</t>
    </rPh>
    <rPh sb="4" eb="5">
      <t>ガタ</t>
    </rPh>
    <rPh sb="5" eb="7">
      <t>ジンコウ</t>
    </rPh>
    <rPh sb="7" eb="8">
      <t>ハイ</t>
    </rPh>
    <phoneticPr fontId="9"/>
  </si>
  <si>
    <t>簡易病室</t>
    <rPh sb="2" eb="4">
      <t>ビョウシツ</t>
    </rPh>
    <phoneticPr fontId="9"/>
  </si>
  <si>
    <t>入院医療機関設備整備事業（２）</t>
    <rPh sb="0" eb="2">
      <t>ニュウイン</t>
    </rPh>
    <rPh sb="2" eb="4">
      <t>イリョウ</t>
    </rPh>
    <rPh sb="4" eb="6">
      <t>キカン</t>
    </rPh>
    <rPh sb="6" eb="8">
      <t>セツビ</t>
    </rPh>
    <rPh sb="8" eb="10">
      <t>セイビ</t>
    </rPh>
    <rPh sb="10" eb="12">
      <t>ジギョウ</t>
    </rPh>
    <phoneticPr fontId="9"/>
  </si>
  <si>
    <t>紫外線照射装置</t>
    <rPh sb="0" eb="3">
      <t>シガイセン</t>
    </rPh>
    <rPh sb="3" eb="5">
      <t>ショウシャ</t>
    </rPh>
    <rPh sb="5" eb="7">
      <t>ソウチ</t>
    </rPh>
    <phoneticPr fontId="3"/>
  </si>
  <si>
    <t>紫外線照射装置</t>
    <rPh sb="0" eb="3">
      <t>シガイセン</t>
    </rPh>
    <rPh sb="3" eb="5">
      <t>ショウシャ</t>
    </rPh>
    <rPh sb="5" eb="7">
      <t>ソウチ</t>
    </rPh>
    <phoneticPr fontId="9"/>
  </si>
  <si>
    <t>計</t>
    <rPh sb="0" eb="1">
      <t>ケイ</t>
    </rPh>
    <phoneticPr fontId="9"/>
  </si>
  <si>
    <t>重点医療機関等設備整備事業</t>
    <rPh sb="0" eb="2">
      <t>ジュウテン</t>
    </rPh>
    <rPh sb="2" eb="4">
      <t>イリョウ</t>
    </rPh>
    <rPh sb="4" eb="6">
      <t>キカン</t>
    </rPh>
    <rPh sb="6" eb="7">
      <t>トウ</t>
    </rPh>
    <rPh sb="7" eb="9">
      <t>セツビ</t>
    </rPh>
    <rPh sb="9" eb="11">
      <t>セイビ</t>
    </rPh>
    <rPh sb="11" eb="13">
      <t>ジギョウ</t>
    </rPh>
    <phoneticPr fontId="9"/>
  </si>
  <si>
    <t>超音波画像診断装置</t>
    <rPh sb="0" eb="3">
      <t>チョウオンパ</t>
    </rPh>
    <rPh sb="3" eb="5">
      <t>ガゾウ</t>
    </rPh>
    <rPh sb="5" eb="7">
      <t>シンダン</t>
    </rPh>
    <rPh sb="7" eb="9">
      <t>ソウチ</t>
    </rPh>
    <phoneticPr fontId="3"/>
  </si>
  <si>
    <t>血液浄化装置</t>
    <rPh sb="0" eb="2">
      <t>ケツエキ</t>
    </rPh>
    <rPh sb="2" eb="4">
      <t>ジョウカ</t>
    </rPh>
    <rPh sb="4" eb="6">
      <t>ソウチ</t>
    </rPh>
    <phoneticPr fontId="3"/>
  </si>
  <si>
    <t>気管支鏡</t>
    <rPh sb="0" eb="4">
      <t>キカンシキョウ</t>
    </rPh>
    <phoneticPr fontId="3"/>
  </si>
  <si>
    <t>生体情報モニタ</t>
    <rPh sb="2" eb="4">
      <t>ジョウホウ</t>
    </rPh>
    <phoneticPr fontId="9"/>
  </si>
  <si>
    <t>分娩監視装置</t>
    <rPh sb="0" eb="2">
      <t>ブンベン</t>
    </rPh>
    <rPh sb="2" eb="4">
      <t>カンシ</t>
    </rPh>
    <rPh sb="4" eb="6">
      <t>ソウチ</t>
    </rPh>
    <phoneticPr fontId="3"/>
  </si>
  <si>
    <t>新生児モニタ</t>
    <rPh sb="0" eb="3">
      <t>シンセイジ</t>
    </rPh>
    <phoneticPr fontId="3"/>
  </si>
  <si>
    <t>―</t>
    <phoneticPr fontId="5"/>
  </si>
  <si>
    <t>１．普通　２．当座　</t>
    <phoneticPr fontId="9"/>
  </si>
  <si>
    <t>品目</t>
    <rPh sb="0" eb="1">
      <t>ヒン</t>
    </rPh>
    <rPh sb="1" eb="2">
      <t>モク</t>
    </rPh>
    <phoneticPr fontId="9"/>
  </si>
  <si>
    <t>総事業費
(A)</t>
    <phoneticPr fontId="9"/>
  </si>
  <si>
    <t>差引事業費
(A)―(B)
（C）</t>
    <phoneticPr fontId="9"/>
  </si>
  <si>
    <t>基準額
（E）</t>
    <phoneticPr fontId="9"/>
  </si>
  <si>
    <t>選定額
(F)</t>
    <phoneticPr fontId="9"/>
  </si>
  <si>
    <t>県補助
基本額
(G)</t>
    <phoneticPr fontId="9"/>
  </si>
  <si>
    <t>県補助額
(G)×10/10
(H)</t>
    <phoneticPr fontId="9"/>
  </si>
  <si>
    <t>備考</t>
    <phoneticPr fontId="9"/>
  </si>
  <si>
    <t>個人防護具</t>
    <rPh sb="0" eb="2">
      <t>コジン</t>
    </rPh>
    <rPh sb="2" eb="4">
      <t>ボウゴ</t>
    </rPh>
    <rPh sb="4" eb="5">
      <t>グ</t>
    </rPh>
    <phoneticPr fontId="3"/>
  </si>
  <si>
    <t>簡易陰圧装置</t>
    <rPh sb="0" eb="2">
      <t>カンイ</t>
    </rPh>
    <rPh sb="2" eb="3">
      <t>カゲ</t>
    </rPh>
    <rPh sb="3" eb="4">
      <t>アツ</t>
    </rPh>
    <rPh sb="4" eb="6">
      <t>ソウチ</t>
    </rPh>
    <phoneticPr fontId="9"/>
  </si>
  <si>
    <t>簡易ベッド</t>
    <rPh sb="0" eb="2">
      <t>カンイ</t>
    </rPh>
    <phoneticPr fontId="3"/>
  </si>
  <si>
    <t>簡易ベッド</t>
    <rPh sb="0" eb="2">
      <t>カンイ</t>
    </rPh>
    <phoneticPr fontId="9"/>
  </si>
  <si>
    <t>簡易病室</t>
    <rPh sb="0" eb="2">
      <t>カンイ</t>
    </rPh>
    <rPh sb="2" eb="4">
      <t>ビョウシツ</t>
    </rPh>
    <phoneticPr fontId="3"/>
  </si>
  <si>
    <t>紫外線照射装置等導入経費</t>
    <rPh sb="0" eb="3">
      <t>シガイセン</t>
    </rPh>
    <rPh sb="3" eb="5">
      <t>ショウシャ</t>
    </rPh>
    <rPh sb="5" eb="7">
      <t>ソウチ</t>
    </rPh>
    <rPh sb="7" eb="8">
      <t>トウ</t>
    </rPh>
    <rPh sb="8" eb="10">
      <t>ドウニュウ</t>
    </rPh>
    <rPh sb="10" eb="12">
      <t>ケイヒ</t>
    </rPh>
    <phoneticPr fontId="9"/>
  </si>
  <si>
    <t>CT撮影装置</t>
    <rPh sb="2" eb="4">
      <t>サツエイ</t>
    </rPh>
    <rPh sb="4" eb="6">
      <t>ソウチ</t>
    </rPh>
    <phoneticPr fontId="9"/>
  </si>
  <si>
    <t>総計</t>
    <rPh sb="0" eb="2">
      <t>ソウケイ</t>
    </rPh>
    <phoneticPr fontId="9"/>
  </si>
  <si>
    <t>注１「県補助額」(H)には、１，０００円未満を切り捨てた額を記入すること。</t>
    <phoneticPr fontId="9"/>
  </si>
  <si>
    <t>入院患者数</t>
    <rPh sb="0" eb="2">
      <t>ニュウイン</t>
    </rPh>
    <rPh sb="2" eb="5">
      <t>カンジャスウ</t>
    </rPh>
    <phoneticPr fontId="5"/>
  </si>
  <si>
    <t>内、妊産婦</t>
    <rPh sb="0" eb="1">
      <t>ウチ</t>
    </rPh>
    <rPh sb="2" eb="5">
      <t>ニンサンプ</t>
    </rPh>
    <phoneticPr fontId="5"/>
  </si>
  <si>
    <t>内、透析患者</t>
    <rPh sb="0" eb="1">
      <t>ウチ</t>
    </rPh>
    <rPh sb="2" eb="4">
      <t>トウセキ</t>
    </rPh>
    <rPh sb="4" eb="6">
      <t>カンジャ</t>
    </rPh>
    <phoneticPr fontId="5"/>
  </si>
  <si>
    <t>内、その他</t>
    <rPh sb="0" eb="1">
      <t>ウチ</t>
    </rPh>
    <rPh sb="4" eb="5">
      <t>タ</t>
    </rPh>
    <phoneticPr fontId="5"/>
  </si>
  <si>
    <t>内、小児</t>
    <rPh sb="0" eb="1">
      <t>ウチ</t>
    </rPh>
    <rPh sb="2" eb="4">
      <t>ショウニ</t>
    </rPh>
    <phoneticPr fontId="5"/>
  </si>
  <si>
    <t>計</t>
    <rPh sb="0" eb="1">
      <t>ケイ</t>
    </rPh>
    <phoneticPr fontId="5"/>
  </si>
  <si>
    <t>割合</t>
    <rPh sb="0" eb="2">
      <t>ワリアイ</t>
    </rPh>
    <phoneticPr fontId="5"/>
  </si>
  <si>
    <t>―</t>
    <phoneticPr fontId="5"/>
  </si>
  <si>
    <t>日付</t>
    <rPh sb="0" eb="2">
      <t>ヒヅケ</t>
    </rPh>
    <phoneticPr fontId="5"/>
  </si>
  <si>
    <t>○設備整備の適否判断に係り、第７波のピーク時である８月及びその後における貴院の入院患者状況について下表に入院患者数を入力してください。</t>
    <rPh sb="1" eb="3">
      <t>セツビ</t>
    </rPh>
    <rPh sb="3" eb="5">
      <t>セイビ</t>
    </rPh>
    <rPh sb="6" eb="8">
      <t>テキヒ</t>
    </rPh>
    <rPh sb="8" eb="10">
      <t>ハンダン</t>
    </rPh>
    <rPh sb="11" eb="12">
      <t>カカ</t>
    </rPh>
    <rPh sb="14" eb="15">
      <t>ダイ</t>
    </rPh>
    <rPh sb="16" eb="17">
      <t>ナミ</t>
    </rPh>
    <rPh sb="21" eb="22">
      <t>ジ</t>
    </rPh>
    <rPh sb="26" eb="27">
      <t>ガツ</t>
    </rPh>
    <rPh sb="27" eb="28">
      <t>オヨ</t>
    </rPh>
    <rPh sb="31" eb="32">
      <t>ゴ</t>
    </rPh>
    <rPh sb="36" eb="38">
      <t>キイン</t>
    </rPh>
    <rPh sb="39" eb="41">
      <t>ニュウイン</t>
    </rPh>
    <rPh sb="41" eb="43">
      <t>カンジャ</t>
    </rPh>
    <rPh sb="43" eb="45">
      <t>ジョウキョウ</t>
    </rPh>
    <rPh sb="49" eb="51">
      <t>カヒョウ</t>
    </rPh>
    <rPh sb="52" eb="54">
      <t>ニュウイン</t>
    </rPh>
    <rPh sb="54" eb="57">
      <t>カンジャスウ</t>
    </rPh>
    <rPh sb="58" eb="60">
      <t>ニュウリョク</t>
    </rPh>
    <phoneticPr fontId="5"/>
  </si>
  <si>
    <t>○判定欄が「○」になるためには全ての欄に数値が入力される必要がありますので。該当の患者数が0の場合も「0」を入力してください。</t>
    <rPh sb="1" eb="3">
      <t>ハンテイ</t>
    </rPh>
    <rPh sb="3" eb="4">
      <t>ラン</t>
    </rPh>
    <rPh sb="15" eb="16">
      <t>スベ</t>
    </rPh>
    <rPh sb="18" eb="19">
      <t>ラン</t>
    </rPh>
    <rPh sb="20" eb="22">
      <t>スウチ</t>
    </rPh>
    <rPh sb="23" eb="25">
      <t>ニュウリョク</t>
    </rPh>
    <rPh sb="28" eb="30">
      <t>ヒツヨウ</t>
    </rPh>
    <phoneticPr fontId="5"/>
  </si>
  <si>
    <t>○日付毎に設けてある５つの項目を全て入力、患者数が確保病床数以内となると、右端の判定欄が「×」から「○」に変わります。</t>
    <rPh sb="1" eb="3">
      <t>ヒヅケ</t>
    </rPh>
    <rPh sb="3" eb="4">
      <t>ゴト</t>
    </rPh>
    <rPh sb="5" eb="6">
      <t>モウ</t>
    </rPh>
    <rPh sb="13" eb="15">
      <t>コウモク</t>
    </rPh>
    <rPh sb="16" eb="17">
      <t>スベ</t>
    </rPh>
    <rPh sb="18" eb="20">
      <t>ニュウリョク</t>
    </rPh>
    <rPh sb="21" eb="24">
      <t>カンジャスウ</t>
    </rPh>
    <rPh sb="25" eb="27">
      <t>カクホ</t>
    </rPh>
    <rPh sb="27" eb="30">
      <t>ビョウショウスウ</t>
    </rPh>
    <rPh sb="30" eb="32">
      <t>イナイ</t>
    </rPh>
    <rPh sb="37" eb="39">
      <t>ミギハシ</t>
    </rPh>
    <rPh sb="40" eb="42">
      <t>ハンテイ</t>
    </rPh>
    <rPh sb="42" eb="43">
      <t>ラン</t>
    </rPh>
    <rPh sb="53" eb="54">
      <t>カ</t>
    </rPh>
    <phoneticPr fontId="5"/>
  </si>
  <si>
    <t>確保病床使用状況調査票</t>
    <rPh sb="0" eb="2">
      <t>カクホ</t>
    </rPh>
    <rPh sb="2" eb="4">
      <t>ビョウショウ</t>
    </rPh>
    <rPh sb="4" eb="6">
      <t>シヨウ</t>
    </rPh>
    <rPh sb="6" eb="8">
      <t>ジョウキョウ</t>
    </rPh>
    <rPh sb="8" eb="10">
      <t>チョウサ</t>
    </rPh>
    <rPh sb="10" eb="11">
      <t>ヒョウ</t>
    </rPh>
    <phoneticPr fontId="5"/>
  </si>
  <si>
    <t>共通</t>
    <rPh sb="0" eb="2">
      <t>キョウツウ</t>
    </rPh>
    <phoneticPr fontId="5"/>
  </si>
  <si>
    <t>事前協議
のみ</t>
    <rPh sb="0" eb="2">
      <t>ジゼン</t>
    </rPh>
    <rPh sb="2" eb="4">
      <t>キョウギ</t>
    </rPh>
    <phoneticPr fontId="5"/>
  </si>
  <si>
    <t>口座情報
請求書</t>
    <rPh sb="0" eb="2">
      <t>コウザ</t>
    </rPh>
    <rPh sb="2" eb="4">
      <t>ジョウホウ</t>
    </rPh>
    <rPh sb="5" eb="8">
      <t>セイキュウショ</t>
    </rPh>
    <phoneticPr fontId="5"/>
  </si>
  <si>
    <t>表紙</t>
    <rPh sb="0" eb="2">
      <t>ヒョウシ</t>
    </rPh>
    <phoneticPr fontId="5"/>
  </si>
  <si>
    <t>経費書</t>
    <rPh sb="0" eb="2">
      <t>ケイヒ</t>
    </rPh>
    <rPh sb="2" eb="3">
      <t>ショ</t>
    </rPh>
    <phoneticPr fontId="5"/>
  </si>
  <si>
    <t>額内訳書</t>
    <rPh sb="0" eb="1">
      <t>ガク</t>
    </rPh>
    <rPh sb="1" eb="4">
      <t>ウチワケショ</t>
    </rPh>
    <phoneticPr fontId="5"/>
  </si>
  <si>
    <t>抄本</t>
    <rPh sb="0" eb="2">
      <t>ショウホン</t>
    </rPh>
    <phoneticPr fontId="5"/>
  </si>
  <si>
    <t>明細</t>
    <rPh sb="0" eb="2">
      <t>メイサイ</t>
    </rPh>
    <phoneticPr fontId="5"/>
  </si>
  <si>
    <t>見積書金額</t>
    <rPh sb="0" eb="3">
      <t>ミツモリショ</t>
    </rPh>
    <rPh sb="3" eb="5">
      <t>キンガク</t>
    </rPh>
    <phoneticPr fontId="9"/>
  </si>
  <si>
    <t>割引額</t>
    <rPh sb="0" eb="3">
      <t>ワリビキガク</t>
    </rPh>
    <phoneticPr fontId="9"/>
  </si>
  <si>
    <t>（現況の設備状況及び整備を要する設備がないことによりどのような支障が生じたか、さらに今後同様の支障が生じる蓋然性について定量的根拠に基づき説明をすること。なお、説明に不足がある場合、協議の中で追加説明を求めること及び、記載内容の根拠となる資料の提出を求めることがあります。）</t>
    <rPh sb="1" eb="3">
      <t>ゲンキョウ</t>
    </rPh>
    <rPh sb="4" eb="6">
      <t>セツビ</t>
    </rPh>
    <rPh sb="6" eb="8">
      <t>ジョウキョウ</t>
    </rPh>
    <rPh sb="8" eb="9">
      <t>オヨ</t>
    </rPh>
    <rPh sb="10" eb="12">
      <t>セイビ</t>
    </rPh>
    <rPh sb="13" eb="14">
      <t>ヨウ</t>
    </rPh>
    <rPh sb="16" eb="18">
      <t>セツビ</t>
    </rPh>
    <rPh sb="31" eb="33">
      <t>シショウ</t>
    </rPh>
    <rPh sb="34" eb="35">
      <t>ショウ</t>
    </rPh>
    <rPh sb="42" eb="44">
      <t>コンゴ</t>
    </rPh>
    <rPh sb="44" eb="46">
      <t>ドウヨウ</t>
    </rPh>
    <rPh sb="47" eb="49">
      <t>シショウ</t>
    </rPh>
    <rPh sb="50" eb="51">
      <t>ショウ</t>
    </rPh>
    <rPh sb="53" eb="56">
      <t>ガイゼンセイ</t>
    </rPh>
    <rPh sb="60" eb="62">
      <t>テイリョウ</t>
    </rPh>
    <rPh sb="62" eb="63">
      <t>テキ</t>
    </rPh>
    <rPh sb="63" eb="65">
      <t>コンキョ</t>
    </rPh>
    <rPh sb="66" eb="67">
      <t>モト</t>
    </rPh>
    <rPh sb="69" eb="71">
      <t>セツメイ</t>
    </rPh>
    <rPh sb="80" eb="82">
      <t>セツメイ</t>
    </rPh>
    <rPh sb="83" eb="85">
      <t>フソク</t>
    </rPh>
    <rPh sb="88" eb="90">
      <t>バアイ</t>
    </rPh>
    <rPh sb="91" eb="93">
      <t>キョウギ</t>
    </rPh>
    <rPh sb="94" eb="95">
      <t>ナカ</t>
    </rPh>
    <rPh sb="96" eb="98">
      <t>ツイカ</t>
    </rPh>
    <rPh sb="98" eb="100">
      <t>セツメイ</t>
    </rPh>
    <rPh sb="101" eb="102">
      <t>モト</t>
    </rPh>
    <rPh sb="106" eb="107">
      <t>オヨ</t>
    </rPh>
    <rPh sb="109" eb="111">
      <t>キサイ</t>
    </rPh>
    <rPh sb="111" eb="113">
      <t>ナイヨウ</t>
    </rPh>
    <rPh sb="114" eb="116">
      <t>コンキョ</t>
    </rPh>
    <rPh sb="119" eb="121">
      <t>シリョウ</t>
    </rPh>
    <rPh sb="122" eb="124">
      <t>テイシュツ</t>
    </rPh>
    <rPh sb="125" eb="126">
      <t>モト</t>
    </rPh>
    <phoneticPr fontId="5"/>
  </si>
  <si>
    <t>AO</t>
  </si>
  <si>
    <t>AO</t>
    <phoneticPr fontId="5"/>
  </si>
  <si>
    <t>AP</t>
  </si>
  <si>
    <t>AP</t>
    <phoneticPr fontId="5"/>
  </si>
  <si>
    <t>AQ</t>
  </si>
  <si>
    <t>AQ</t>
    <phoneticPr fontId="5"/>
  </si>
  <si>
    <t>AR</t>
    <phoneticPr fontId="5"/>
  </si>
  <si>
    <t>初度設備</t>
    <rPh sb="0" eb="2">
      <t>ショド</t>
    </rPh>
    <rPh sb="2" eb="4">
      <t>セツビ</t>
    </rPh>
    <phoneticPr fontId="5"/>
  </si>
  <si>
    <t>所要額</t>
    <rPh sb="0" eb="3">
      <t>ショヨウガク</t>
    </rPh>
    <phoneticPr fontId="5"/>
  </si>
  <si>
    <t>補助額</t>
    <rPh sb="0" eb="3">
      <t>ホジョガク</t>
    </rPh>
    <phoneticPr fontId="5"/>
  </si>
  <si>
    <t>簡易陰圧装置</t>
    <rPh sb="0" eb="2">
      <t>カンイ</t>
    </rPh>
    <rPh sb="2" eb="4">
      <t>インアツ</t>
    </rPh>
    <rPh sb="4" eb="6">
      <t>ソウチ</t>
    </rPh>
    <phoneticPr fontId="5"/>
  </si>
  <si>
    <t>簡易ベッド</t>
    <rPh sb="0" eb="2">
      <t>カンイ</t>
    </rPh>
    <phoneticPr fontId="5"/>
  </si>
  <si>
    <t>紫外線照射装置</t>
    <phoneticPr fontId="5"/>
  </si>
  <si>
    <t>超音波画像診断装置</t>
    <phoneticPr fontId="5"/>
  </si>
  <si>
    <t>血液浄化装置</t>
    <phoneticPr fontId="5"/>
  </si>
  <si>
    <t>気管支鏡</t>
    <phoneticPr fontId="5"/>
  </si>
  <si>
    <t>ＣＴ撮影装置等</t>
    <phoneticPr fontId="5"/>
  </si>
  <si>
    <t>生体情報モニタ</t>
    <phoneticPr fontId="5"/>
  </si>
  <si>
    <t>分娩監視装置</t>
    <phoneticPr fontId="5"/>
  </si>
  <si>
    <t>新生児モニタ</t>
    <phoneticPr fontId="5"/>
  </si>
  <si>
    <r>
      <t>　</t>
    </r>
    <r>
      <rPr>
        <b/>
        <u/>
        <sz val="11"/>
        <color rgb="FFFF0000"/>
        <rFont val="Yu Gothic"/>
        <family val="3"/>
        <charset val="128"/>
        <scheme val="minor"/>
      </rPr>
      <t>右端に表示の番号を、見積書あるいは納品書の内訳中、該当の部分に記入し記載の箇所を明示してください。</t>
    </r>
    <r>
      <rPr>
        <b/>
        <sz val="11"/>
        <color theme="1"/>
        <rFont val="Yu Gothic"/>
        <family val="3"/>
        <charset val="128"/>
        <scheme val="minor"/>
      </rPr>
      <t xml:space="preserve">
　購入数量が過大または見積額が一般的な相場帯を逸脱していると見受けられる場合は整備内容の見直しを協議において依頼することがあります。
　特定の病床に紐づけるものでない整備に関しては、「病床欄」は「共通使用」を、「用途左記病床」は「対応病床共通」を選択してください。</t>
    </r>
    <rPh sb="52" eb="54">
      <t>コウニュウ</t>
    </rPh>
    <rPh sb="54" eb="56">
      <t>スウリョウ</t>
    </rPh>
    <rPh sb="57" eb="59">
      <t>カダイ</t>
    </rPh>
    <rPh sb="62" eb="64">
      <t>ミツ</t>
    </rPh>
    <rPh sb="64" eb="65">
      <t>ガク</t>
    </rPh>
    <rPh sb="66" eb="69">
      <t>イッパンテキ</t>
    </rPh>
    <rPh sb="70" eb="72">
      <t>ソウバ</t>
    </rPh>
    <rPh sb="72" eb="73">
      <t>タイ</t>
    </rPh>
    <rPh sb="74" eb="76">
      <t>イツダツ</t>
    </rPh>
    <rPh sb="81" eb="83">
      <t>ミウ</t>
    </rPh>
    <rPh sb="87" eb="89">
      <t>バアイ</t>
    </rPh>
    <rPh sb="90" eb="92">
      <t>セイビ</t>
    </rPh>
    <rPh sb="92" eb="94">
      <t>ナイヨウ</t>
    </rPh>
    <rPh sb="95" eb="97">
      <t>ミナオ</t>
    </rPh>
    <rPh sb="99" eb="101">
      <t>キョウギ</t>
    </rPh>
    <rPh sb="105" eb="107">
      <t>イライ</t>
    </rPh>
    <rPh sb="119" eb="121">
      <t>トクテイ</t>
    </rPh>
    <rPh sb="122" eb="124">
      <t>ビョウショウ</t>
    </rPh>
    <rPh sb="125" eb="126">
      <t>ヒモ</t>
    </rPh>
    <rPh sb="134" eb="136">
      <t>セイビ</t>
    </rPh>
    <rPh sb="137" eb="138">
      <t>カン</t>
    </rPh>
    <rPh sb="143" eb="145">
      <t>ビョウショウ</t>
    </rPh>
    <rPh sb="145" eb="146">
      <t>ラン</t>
    </rPh>
    <rPh sb="149" eb="151">
      <t>キョウツウ</t>
    </rPh>
    <rPh sb="151" eb="153">
      <t>シヨウ</t>
    </rPh>
    <rPh sb="157" eb="159">
      <t>ヨウト</t>
    </rPh>
    <rPh sb="159" eb="161">
      <t>サキ</t>
    </rPh>
    <rPh sb="161" eb="163">
      <t>ビョウショウ</t>
    </rPh>
    <rPh sb="166" eb="168">
      <t>タイオウ</t>
    </rPh>
    <rPh sb="168" eb="170">
      <t>ビョウショウ</t>
    </rPh>
    <rPh sb="170" eb="172">
      <t>キョウツウ</t>
    </rPh>
    <rPh sb="174" eb="176">
      <t>センタク</t>
    </rPh>
    <phoneticPr fontId="5"/>
  </si>
  <si>
    <t>CT撮影装置等</t>
    <rPh sb="6" eb="7">
      <t>トウ</t>
    </rPh>
    <phoneticPr fontId="9"/>
  </si>
  <si>
    <t>入院医療機関
設備整備事業（１）</t>
    <rPh sb="0" eb="2">
      <t>ニュウイン</t>
    </rPh>
    <rPh sb="2" eb="4">
      <t>イリョウ</t>
    </rPh>
    <rPh sb="4" eb="6">
      <t>キカン</t>
    </rPh>
    <rPh sb="7" eb="9">
      <t>セツビ</t>
    </rPh>
    <rPh sb="9" eb="11">
      <t>セイビ</t>
    </rPh>
    <rPh sb="11" eb="13">
      <t>ジギョウ</t>
    </rPh>
    <phoneticPr fontId="9"/>
  </si>
  <si>
    <t>入院医療機関
設備整備事業（２）</t>
    <phoneticPr fontId="9"/>
  </si>
  <si>
    <t>重点医療機関等
設備整備事業</t>
    <rPh sb="0" eb="2">
      <t>ジュウテン</t>
    </rPh>
    <rPh sb="2" eb="4">
      <t>イリョウ</t>
    </rPh>
    <rPh sb="4" eb="6">
      <t>キカン</t>
    </rPh>
    <rPh sb="6" eb="7">
      <t>トウ</t>
    </rPh>
    <rPh sb="8" eb="10">
      <t>セツビ</t>
    </rPh>
    <rPh sb="10" eb="12">
      <t>セイビ</t>
    </rPh>
    <rPh sb="12" eb="14">
      <t>ジギョウ</t>
    </rPh>
    <phoneticPr fontId="9"/>
  </si>
  <si>
    <t>簡易院圧装置</t>
    <rPh sb="0" eb="2">
      <t>カンイ</t>
    </rPh>
    <rPh sb="2" eb="3">
      <t>イン</t>
    </rPh>
    <rPh sb="3" eb="4">
      <t>アツ</t>
    </rPh>
    <rPh sb="4" eb="6">
      <t>ソウチ</t>
    </rPh>
    <phoneticPr fontId="3"/>
  </si>
  <si>
    <t>ＥＣＭＯ</t>
  </si>
  <si>
    <t>ＣＴ</t>
  </si>
  <si>
    <t>生体情報モニタ</t>
    <rPh sb="0" eb="2">
      <t>セイタイ</t>
    </rPh>
    <rPh sb="2" eb="4">
      <t>ジョウホウ</t>
    </rPh>
    <phoneticPr fontId="3"/>
  </si>
  <si>
    <t>交付決定日</t>
    <rPh sb="0" eb="2">
      <t>コウフ</t>
    </rPh>
    <rPh sb="2" eb="5">
      <t>ケッテイビ</t>
    </rPh>
    <phoneticPr fontId="3"/>
  </si>
  <si>
    <t>申請額</t>
    <rPh sb="0" eb="3">
      <t>シンセイガク</t>
    </rPh>
    <phoneticPr fontId="3"/>
  </si>
  <si>
    <t>総事業費</t>
    <rPh sb="0" eb="1">
      <t>ソウ</t>
    </rPh>
    <rPh sb="1" eb="3">
      <t>ジギョウ</t>
    </rPh>
    <rPh sb="3" eb="4">
      <t>ヒ</t>
    </rPh>
    <phoneticPr fontId="3"/>
  </si>
  <si>
    <t>寄付金等</t>
    <rPh sb="0" eb="3">
      <t>キフキン</t>
    </rPh>
    <rPh sb="3" eb="4">
      <t>トウ</t>
    </rPh>
    <phoneticPr fontId="3"/>
  </si>
  <si>
    <t>差引</t>
    <rPh sb="0" eb="2">
      <t>サシヒキ</t>
    </rPh>
    <phoneticPr fontId="3"/>
  </si>
  <si>
    <t>支出予定額</t>
    <rPh sb="0" eb="2">
      <t>シシュツ</t>
    </rPh>
    <rPh sb="2" eb="4">
      <t>ヨテイ</t>
    </rPh>
    <rPh sb="4" eb="5">
      <t>ガク</t>
    </rPh>
    <phoneticPr fontId="3"/>
  </si>
  <si>
    <t>基準額</t>
    <rPh sb="0" eb="2">
      <t>キジュン</t>
    </rPh>
    <rPh sb="2" eb="3">
      <t>ガク</t>
    </rPh>
    <phoneticPr fontId="3"/>
  </si>
  <si>
    <t>選定額</t>
    <rPh sb="0" eb="2">
      <t>センテイ</t>
    </rPh>
    <rPh sb="2" eb="3">
      <t>ガク</t>
    </rPh>
    <phoneticPr fontId="3"/>
  </si>
  <si>
    <t>補助基本額</t>
    <rPh sb="0" eb="2">
      <t>ホジョ</t>
    </rPh>
    <rPh sb="2" eb="4">
      <t>キホン</t>
    </rPh>
    <rPh sb="4" eb="5">
      <t>ガク</t>
    </rPh>
    <phoneticPr fontId="3"/>
  </si>
  <si>
    <t>補助額</t>
    <rPh sb="0" eb="2">
      <t>ホジョ</t>
    </rPh>
    <rPh sb="2" eb="3">
      <t>ガク</t>
    </rPh>
    <phoneticPr fontId="3"/>
  </si>
  <si>
    <t>金融機関名</t>
    <rPh sb="0" eb="2">
      <t>キンユウ</t>
    </rPh>
    <rPh sb="2" eb="5">
      <t>キカンメイ</t>
    </rPh>
    <phoneticPr fontId="3"/>
  </si>
  <si>
    <t>支店名</t>
    <rPh sb="0" eb="3">
      <t>シテンメイ</t>
    </rPh>
    <phoneticPr fontId="3"/>
  </si>
  <si>
    <t>預金口座種別</t>
    <rPh sb="0" eb="2">
      <t>ヨキン</t>
    </rPh>
    <rPh sb="2" eb="4">
      <t>コウザ</t>
    </rPh>
    <rPh sb="4" eb="6">
      <t>シュベツ</t>
    </rPh>
    <phoneticPr fontId="3"/>
  </si>
  <si>
    <t>口座情報</t>
    <rPh sb="0" eb="2">
      <t>コウザ</t>
    </rPh>
    <rPh sb="2" eb="4">
      <t>ジョウホウ</t>
    </rPh>
    <phoneticPr fontId="5"/>
  </si>
  <si>
    <t>岐阜信用金庫</t>
  </si>
  <si>
    <t>奥町支店</t>
  </si>
  <si>
    <t>普通</t>
  </si>
  <si>
    <t>豊川信用金庫</t>
  </si>
  <si>
    <t>本店営業部</t>
  </si>
  <si>
    <t>三菱ＵＦＪ銀行</t>
  </si>
  <si>
    <t>大府支店</t>
  </si>
  <si>
    <t>名古屋銀行</t>
  </si>
  <si>
    <t>梅森支店</t>
  </si>
  <si>
    <t>岡崎信用金庫</t>
  </si>
  <si>
    <t>本店営業部</t>
    <rPh sb="0" eb="2">
      <t>ホンテン</t>
    </rPh>
    <rPh sb="2" eb="5">
      <t>エイギョウブ</t>
    </rPh>
    <phoneticPr fontId="2"/>
  </si>
  <si>
    <t>海部東農業協同組合</t>
  </si>
  <si>
    <t>甚目寺支店</t>
  </si>
  <si>
    <t>豊橋支店</t>
  </si>
  <si>
    <t>いちい信用金庫</t>
  </si>
  <si>
    <t>津島営業部</t>
  </si>
  <si>
    <t>野並支店</t>
  </si>
  <si>
    <t>知多信用金庫</t>
  </si>
  <si>
    <t>あすか台支店</t>
  </si>
  <si>
    <t>百五銀行</t>
  </si>
  <si>
    <t>西春支店</t>
  </si>
  <si>
    <t>東支店</t>
  </si>
  <si>
    <t>当座</t>
  </si>
  <si>
    <t>藤が丘支店</t>
  </si>
  <si>
    <t>みずほ銀行</t>
  </si>
  <si>
    <t>名古屋支店</t>
  </si>
  <si>
    <t>東海支店</t>
  </si>
  <si>
    <t>三井住友銀行</t>
  </si>
  <si>
    <t>刈谷支店</t>
  </si>
  <si>
    <t>平針支店</t>
  </si>
  <si>
    <t>今池支店</t>
  </si>
  <si>
    <t>尾張旭支店</t>
  </si>
  <si>
    <t>滝子支店</t>
  </si>
  <si>
    <t>静岡銀行</t>
  </si>
  <si>
    <t>大曽根支店</t>
  </si>
  <si>
    <t>東海公務部</t>
  </si>
  <si>
    <t>蒲郡信用金庫</t>
  </si>
  <si>
    <t>愛知県中央信用組合</t>
  </si>
  <si>
    <t>内田橋支店</t>
  </si>
  <si>
    <t>一ツ木支店</t>
  </si>
  <si>
    <t>大清水支店</t>
  </si>
  <si>
    <t>西尾支店</t>
  </si>
  <si>
    <t>星ヶ丘支店</t>
  </si>
  <si>
    <t>豊橋信用金庫</t>
  </si>
  <si>
    <t>岩田支店</t>
  </si>
  <si>
    <t>鶴舞支店</t>
  </si>
  <si>
    <t>小牧支店</t>
  </si>
  <si>
    <t>豊田支店</t>
  </si>
  <si>
    <t>名古屋営業部</t>
  </si>
  <si>
    <t>大津町支店</t>
  </si>
  <si>
    <t>りそな銀行</t>
  </si>
  <si>
    <t>サンライズ支店</t>
  </si>
  <si>
    <t>中京銀行</t>
  </si>
  <si>
    <t>高蔵寺支店</t>
  </si>
  <si>
    <t>瀬戸支店</t>
  </si>
  <si>
    <t>大垣共立銀行</t>
  </si>
  <si>
    <t>瀬戸信用金庫</t>
  </si>
  <si>
    <t>碧海信用金庫</t>
  </si>
  <si>
    <t>今村支店</t>
  </si>
  <si>
    <t>柴田支店</t>
  </si>
  <si>
    <t>新城支店</t>
  </si>
  <si>
    <t>笹島支店</t>
  </si>
  <si>
    <t>西尾信用金庫</t>
  </si>
  <si>
    <t>名古屋港支店</t>
  </si>
  <si>
    <t>名古屋駅前支店</t>
  </si>
  <si>
    <t>大津橋支店</t>
  </si>
  <si>
    <t>十六銀行</t>
    <rPh sb="0" eb="4">
      <t>ジュウロクギンコウ</t>
    </rPh>
    <phoneticPr fontId="2"/>
  </si>
  <si>
    <t>一宮支店</t>
    <rPh sb="0" eb="4">
      <t>イチノミヤシテン</t>
    </rPh>
    <phoneticPr fontId="2"/>
  </si>
  <si>
    <t>中央支店</t>
    <rPh sb="0" eb="4">
      <t>チュウオウシテン</t>
    </rPh>
    <phoneticPr fontId="2"/>
  </si>
  <si>
    <t>新規</t>
    <rPh sb="0" eb="2">
      <t>シンキ</t>
    </rPh>
    <phoneticPr fontId="3"/>
  </si>
  <si>
    <t>　愛　知　県　知　事　殿</t>
    <phoneticPr fontId="9"/>
  </si>
  <si>
    <t>所　  在 　 地</t>
    <rPh sb="0" eb="1">
      <t>トコロ</t>
    </rPh>
    <rPh sb="4" eb="5">
      <t>ザイ</t>
    </rPh>
    <rPh sb="8" eb="9">
      <t>チ</t>
    </rPh>
    <phoneticPr fontId="9"/>
  </si>
  <si>
    <t>実績報告</t>
    <rPh sb="0" eb="2">
      <t>ジッセキ</t>
    </rPh>
    <rPh sb="2" eb="4">
      <t>ホウコク</t>
    </rPh>
    <phoneticPr fontId="9"/>
  </si>
  <si>
    <t>交付申請</t>
    <rPh sb="0" eb="2">
      <t>コウフ</t>
    </rPh>
    <rPh sb="2" eb="4">
      <t>シンセイ</t>
    </rPh>
    <phoneticPr fontId="9"/>
  </si>
  <si>
    <t>補助事業者名</t>
    <rPh sb="0" eb="2">
      <t>ホジョ</t>
    </rPh>
    <rPh sb="2" eb="4">
      <t>ジギョウ</t>
    </rPh>
    <rPh sb="4" eb="5">
      <t>シャ</t>
    </rPh>
    <rPh sb="5" eb="6">
      <t>メイ</t>
    </rPh>
    <phoneticPr fontId="9"/>
  </si>
  <si>
    <t>変更申請</t>
    <rPh sb="0" eb="2">
      <t>ヘンコウ</t>
    </rPh>
    <rPh sb="2" eb="4">
      <t>シンセイ</t>
    </rPh>
    <phoneticPr fontId="9"/>
  </si>
  <si>
    <t>代表者職氏名</t>
    <rPh sb="0" eb="3">
      <t>ダイヒョウシャ</t>
    </rPh>
    <rPh sb="3" eb="4">
      <t>ショク</t>
    </rPh>
    <rPh sb="4" eb="6">
      <t>シメイ</t>
    </rPh>
    <phoneticPr fontId="9"/>
  </si>
  <si>
    <t>記</t>
    <rPh sb="0" eb="1">
      <t>キ</t>
    </rPh>
    <phoneticPr fontId="9"/>
  </si>
  <si>
    <t>４　添付書類</t>
    <rPh sb="2" eb="4">
      <t>テンプ</t>
    </rPh>
    <rPh sb="4" eb="6">
      <t>ショルイ</t>
    </rPh>
    <phoneticPr fontId="9"/>
  </si>
  <si>
    <t>　</t>
    <phoneticPr fontId="9"/>
  </si>
  <si>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117" eb="118">
      <t>ホン</t>
    </rPh>
    <rPh sb="158" eb="159">
      <t>マタ</t>
    </rPh>
    <phoneticPr fontId="9"/>
  </si>
  <si>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117" eb="118">
      <t>ホン</t>
    </rPh>
    <rPh sb="158" eb="159">
      <t>マタ</t>
    </rPh>
    <phoneticPr fontId="9"/>
  </si>
  <si>
    <t>電話番号</t>
    <rPh sb="0" eb="2">
      <t>デンワ</t>
    </rPh>
    <rPh sb="2" eb="4">
      <t>バンゴウ</t>
    </rPh>
    <phoneticPr fontId="9"/>
  </si>
  <si>
    <t>Mailｱﾄﾞﾚｽ</t>
    <phoneticPr fontId="9"/>
  </si>
  <si>
    <t>令和　　年　　月　　日　</t>
    <phoneticPr fontId="9"/>
  </si>
  <si>
    <t>　　愛知県知事　殿</t>
    <rPh sb="2" eb="5">
      <t>アイチケン</t>
    </rPh>
    <rPh sb="5" eb="7">
      <t>チジ</t>
    </rPh>
    <rPh sb="8" eb="9">
      <t>ドノ</t>
    </rPh>
    <phoneticPr fontId="9"/>
  </si>
  <si>
    <t>住所</t>
    <rPh sb="0" eb="2">
      <t>ジュウショ</t>
    </rPh>
    <phoneticPr fontId="9"/>
  </si>
  <si>
    <t>施設名称</t>
    <rPh sb="0" eb="2">
      <t>シセツ</t>
    </rPh>
    <rPh sb="2" eb="4">
      <t>メイショウ</t>
    </rPh>
    <phoneticPr fontId="9"/>
  </si>
  <si>
    <t>請　求　書</t>
    <rPh sb="0" eb="1">
      <t>ショウ</t>
    </rPh>
    <rPh sb="2" eb="3">
      <t>モトム</t>
    </rPh>
    <rPh sb="4" eb="5">
      <t>ショ</t>
    </rPh>
    <phoneticPr fontId="9"/>
  </si>
  <si>
    <t>１．請求金額</t>
    <rPh sb="2" eb="4">
      <t>セイキュウ</t>
    </rPh>
    <rPh sb="4" eb="6">
      <t>キンガク</t>
    </rPh>
    <phoneticPr fontId="9"/>
  </si>
  <si>
    <t>２．振込先口座</t>
    <rPh sb="2" eb="5">
      <t>フリコミサキ</t>
    </rPh>
    <rPh sb="5" eb="7">
      <t>コウザ</t>
    </rPh>
    <phoneticPr fontId="9"/>
  </si>
  <si>
    <t>金融機関名</t>
    <rPh sb="0" eb="2">
      <t>キンユウ</t>
    </rPh>
    <rPh sb="2" eb="4">
      <t>キカン</t>
    </rPh>
    <rPh sb="4" eb="5">
      <t>メイ</t>
    </rPh>
    <phoneticPr fontId="9"/>
  </si>
  <si>
    <t>支店名</t>
    <rPh sb="0" eb="3">
      <t>シテンメイ</t>
    </rPh>
    <phoneticPr fontId="9"/>
  </si>
  <si>
    <t>口座種別</t>
    <rPh sb="0" eb="2">
      <t>コウザ</t>
    </rPh>
    <rPh sb="2" eb="4">
      <t>シュベツ</t>
    </rPh>
    <phoneticPr fontId="9"/>
  </si>
  <si>
    <t>口座番号</t>
    <rPh sb="0" eb="2">
      <t>コウザ</t>
    </rPh>
    <rPh sb="2" eb="4">
      <t>バンゴウ</t>
    </rPh>
    <phoneticPr fontId="9"/>
  </si>
  <si>
    <t>　令和４年度愛知県新型コロナウイルス感染症入院医療機関設備整備費補助金について、
下記の金額を請求します。なお、支払は下記の口座に振り込んでください。</t>
    <rPh sb="21" eb="23">
      <t>ニュウイン</t>
    </rPh>
    <rPh sb="23" eb="25">
      <t>イリョウ</t>
    </rPh>
    <rPh sb="41" eb="43">
      <t>カキ</t>
    </rPh>
    <rPh sb="59" eb="61">
      <t>カキ</t>
    </rPh>
    <phoneticPr fontId="9"/>
  </si>
  <si>
    <t>振込先通帳写し　貼り付け用台紙
令和４年度　新型コロナウイルス感染症患者等入院医療機関設備整備費補助金</t>
    <rPh sb="0" eb="3">
      <t>フリコミサキ</t>
    </rPh>
    <rPh sb="3" eb="5">
      <t>ツウチョウ</t>
    </rPh>
    <rPh sb="5" eb="6">
      <t>ウツ</t>
    </rPh>
    <rPh sb="8" eb="9">
      <t>ハ</t>
    </rPh>
    <rPh sb="10" eb="11">
      <t>ツ</t>
    </rPh>
    <rPh sb="12" eb="13">
      <t>ヨウ</t>
    </rPh>
    <rPh sb="13" eb="15">
      <t>ダイシ</t>
    </rPh>
    <phoneticPr fontId="5"/>
  </si>
  <si>
    <t>担　当　者</t>
    <rPh sb="0" eb="1">
      <t>タン</t>
    </rPh>
    <rPh sb="2" eb="3">
      <t>トウ</t>
    </rPh>
    <rPh sb="4" eb="5">
      <t>モノ</t>
    </rPh>
    <phoneticPr fontId="5"/>
  </si>
  <si>
    <t>氏　名</t>
    <rPh sb="0" eb="1">
      <t>シ</t>
    </rPh>
    <rPh sb="2" eb="3">
      <t>ナ</t>
    </rPh>
    <phoneticPr fontId="5"/>
  </si>
  <si>
    <t>電話番号</t>
    <rPh sb="0" eb="1">
      <t>デン</t>
    </rPh>
    <rPh sb="1" eb="2">
      <t>ハナシ</t>
    </rPh>
    <rPh sb="2" eb="4">
      <t>バンゴウ</t>
    </rPh>
    <phoneticPr fontId="5"/>
  </si>
  <si>
    <t>メールアドレス</t>
  </si>
  <si>
    <t>以下のとおりです。</t>
    <phoneticPr fontId="9"/>
  </si>
  <si>
    <r>
      <t>振込先情報</t>
    </r>
    <r>
      <rPr>
        <b/>
        <sz val="12"/>
        <color rgb="FFFF0000"/>
        <rFont val="Yu Gothic"/>
        <family val="3"/>
        <charset val="128"/>
        <scheme val="minor"/>
      </rPr>
      <t>※2</t>
    </r>
    <rPh sb="0" eb="3">
      <t>フリコミサキ</t>
    </rPh>
    <rPh sb="3" eb="5">
      <t>ジョウホウ</t>
    </rPh>
    <phoneticPr fontId="5"/>
  </si>
  <si>
    <t>金融機関コード</t>
    <rPh sb="0" eb="2">
      <t>キンユウ</t>
    </rPh>
    <rPh sb="2" eb="4">
      <t>キカン</t>
    </rPh>
    <phoneticPr fontId="42"/>
  </si>
  <si>
    <t>←４桁の金融機関コードを半角数字で入力してください。</t>
    <rPh sb="2" eb="3">
      <t>ケタ</t>
    </rPh>
    <rPh sb="4" eb="6">
      <t>キンユウ</t>
    </rPh>
    <rPh sb="6" eb="8">
      <t>キカン</t>
    </rPh>
    <rPh sb="12" eb="14">
      <t>ハンカク</t>
    </rPh>
    <rPh sb="14" eb="16">
      <t>スウジ</t>
    </rPh>
    <rPh sb="17" eb="19">
      <t>ニュウリョク</t>
    </rPh>
    <phoneticPr fontId="9"/>
  </si>
  <si>
    <t>支店番号</t>
    <rPh sb="0" eb="2">
      <t>シテン</t>
    </rPh>
    <rPh sb="2" eb="4">
      <t>バンゴウ</t>
    </rPh>
    <phoneticPr fontId="42"/>
  </si>
  <si>
    <t>←３桁の支店コードを半角数字で入力してください。</t>
    <rPh sb="2" eb="3">
      <t>ケタ</t>
    </rPh>
    <rPh sb="4" eb="6">
      <t>シテン</t>
    </rPh>
    <rPh sb="10" eb="12">
      <t>ハンカク</t>
    </rPh>
    <rPh sb="12" eb="14">
      <t>スウジ</t>
    </rPh>
    <rPh sb="15" eb="17">
      <t>ニュウリョク</t>
    </rPh>
    <phoneticPr fontId="9"/>
  </si>
  <si>
    <t>金融機関名</t>
    <rPh sb="0" eb="2">
      <t>キンユウ</t>
    </rPh>
    <rPh sb="2" eb="4">
      <t>キカン</t>
    </rPh>
    <rPh sb="4" eb="5">
      <t>メイ</t>
    </rPh>
    <phoneticPr fontId="42"/>
  </si>
  <si>
    <t>←「株式会社」は不要。「銀行」、「信用金庫」等まで入力してください。</t>
    <rPh sb="2" eb="4">
      <t>カブシキ</t>
    </rPh>
    <rPh sb="4" eb="6">
      <t>カイシャ</t>
    </rPh>
    <rPh sb="8" eb="10">
      <t>フヨウ</t>
    </rPh>
    <rPh sb="12" eb="14">
      <t>ギンコウ</t>
    </rPh>
    <rPh sb="17" eb="19">
      <t>シンヨウ</t>
    </rPh>
    <rPh sb="19" eb="21">
      <t>キンコ</t>
    </rPh>
    <rPh sb="22" eb="23">
      <t>トウ</t>
    </rPh>
    <rPh sb="25" eb="27">
      <t>ニュウリョク</t>
    </rPh>
    <phoneticPr fontId="9"/>
  </si>
  <si>
    <t>店　名</t>
    <rPh sb="0" eb="1">
      <t>ミセ</t>
    </rPh>
    <rPh sb="2" eb="3">
      <t>ナ</t>
    </rPh>
    <phoneticPr fontId="42"/>
  </si>
  <si>
    <t>←「支店」、「営業部」まで入力してください。</t>
    <rPh sb="2" eb="4">
      <t>シテン</t>
    </rPh>
    <rPh sb="7" eb="10">
      <t>エイギョウブ</t>
    </rPh>
    <rPh sb="13" eb="15">
      <t>ニュウリョク</t>
    </rPh>
    <phoneticPr fontId="9"/>
  </si>
  <si>
    <t>預金種類</t>
    <rPh sb="0" eb="2">
      <t>ヨキン</t>
    </rPh>
    <rPh sb="2" eb="4">
      <t>シュルイ</t>
    </rPh>
    <phoneticPr fontId="42"/>
  </si>
  <si>
    <t>１．普通　２．当座　（数字を記入してください。）</t>
    <rPh sb="7" eb="9">
      <t>トウザ</t>
    </rPh>
    <rPh sb="11" eb="13">
      <t>スウジ</t>
    </rPh>
    <rPh sb="14" eb="16">
      <t>キニュウ</t>
    </rPh>
    <phoneticPr fontId="42"/>
  </si>
  <si>
    <t>口座番号</t>
    <rPh sb="0" eb="2">
      <t>コウザ</t>
    </rPh>
    <rPh sb="2" eb="4">
      <t>バンゴウ</t>
    </rPh>
    <phoneticPr fontId="42"/>
  </si>
  <si>
    <t>←番号が７桁以下の場合は先頭に「0」を入力してください。</t>
    <rPh sb="1" eb="3">
      <t>バンゴウ</t>
    </rPh>
    <rPh sb="5" eb="6">
      <t>ケタ</t>
    </rPh>
    <rPh sb="6" eb="8">
      <t>イカ</t>
    </rPh>
    <rPh sb="9" eb="11">
      <t>バアイ</t>
    </rPh>
    <rPh sb="12" eb="14">
      <t>セントウ</t>
    </rPh>
    <rPh sb="19" eb="21">
      <t>ニュウリョク</t>
    </rPh>
    <phoneticPr fontId="9"/>
  </si>
  <si>
    <t>口座名義（ｶﾅ）</t>
    <rPh sb="0" eb="2">
      <t>コウザ</t>
    </rPh>
    <rPh sb="2" eb="4">
      <t>メイギ</t>
    </rPh>
    <phoneticPr fontId="5"/>
  </si>
  <si>
    <t>口座名義</t>
    <rPh sb="0" eb="2">
      <t>コウザ</t>
    </rPh>
    <rPh sb="2" eb="4">
      <t>メイギ</t>
    </rPh>
    <phoneticPr fontId="5"/>
  </si>
  <si>
    <t>←コメントまとめ</t>
    <phoneticPr fontId="9"/>
  </si>
  <si>
    <t xml:space="preserve">
本枠内に振込先口座の通帳の表紙見開きの写しを貼り付けしてください。
挙証資料（品目に係る見積書、カタログ等）とともに
愛知県感染症対策課助成グループへ郵送してください。
（封筒余白に「コロナ入院補助金交付申請」と朱書すること。）
</t>
    <rPh sb="99" eb="101">
      <t>ニュウイン</t>
    </rPh>
    <phoneticPr fontId="5"/>
  </si>
  <si>
    <t>歳入</t>
    <rPh sb="0" eb="2">
      <t>サイニュウ</t>
    </rPh>
    <phoneticPr fontId="42"/>
  </si>
  <si>
    <t>款</t>
    <rPh sb="0" eb="1">
      <t>カン</t>
    </rPh>
    <phoneticPr fontId="42"/>
  </si>
  <si>
    <t>項</t>
    <rPh sb="0" eb="1">
      <t>コウ</t>
    </rPh>
    <phoneticPr fontId="42"/>
  </si>
  <si>
    <t>目</t>
    <rPh sb="0" eb="1">
      <t>モク</t>
    </rPh>
    <phoneticPr fontId="42"/>
  </si>
  <si>
    <t>予算現額</t>
    <rPh sb="0" eb="2">
      <t>ヨサン</t>
    </rPh>
    <rPh sb="2" eb="3">
      <t>ウツツ</t>
    </rPh>
    <rPh sb="3" eb="4">
      <t>ガク</t>
    </rPh>
    <phoneticPr fontId="42"/>
  </si>
  <si>
    <t>節</t>
    <rPh sb="0" eb="1">
      <t>セツ</t>
    </rPh>
    <phoneticPr fontId="42"/>
  </si>
  <si>
    <t>備考</t>
    <rPh sb="0" eb="2">
      <t>ビコウ</t>
    </rPh>
    <phoneticPr fontId="42"/>
  </si>
  <si>
    <t>入力区分</t>
    <rPh sb="0" eb="2">
      <t>ニュウリョク</t>
    </rPh>
    <rPh sb="2" eb="4">
      <t>クブン</t>
    </rPh>
    <phoneticPr fontId="9"/>
  </si>
  <si>
    <t>区分</t>
    <rPh sb="0" eb="2">
      <t>クブン</t>
    </rPh>
    <phoneticPr fontId="42"/>
  </si>
  <si>
    <t>金額</t>
    <rPh sb="0" eb="2">
      <t>キンガク</t>
    </rPh>
    <phoneticPr fontId="42"/>
  </si>
  <si>
    <t>円</t>
    <rPh sb="0" eb="1">
      <t>エン</t>
    </rPh>
    <phoneticPr fontId="42"/>
  </si>
  <si>
    <t>歳入</t>
    <rPh sb="0" eb="2">
      <t>サイニュウ</t>
    </rPh>
    <phoneticPr fontId="9"/>
  </si>
  <si>
    <t>歳出</t>
    <rPh sb="0" eb="2">
      <t>サイシュツ</t>
    </rPh>
    <phoneticPr fontId="9"/>
  </si>
  <si>
    <t>歳出</t>
    <rPh sb="0" eb="2">
      <t>サイシュツ</t>
    </rPh>
    <phoneticPr fontId="42"/>
  </si>
  <si>
    <t>　　　原本と相違ないことを証明します。</t>
    <rPh sb="3" eb="5">
      <t>ゲンポン</t>
    </rPh>
    <rPh sb="6" eb="8">
      <t>ソウイ</t>
    </rPh>
    <rPh sb="13" eb="15">
      <t>ショウメイ</t>
    </rPh>
    <phoneticPr fontId="42"/>
  </si>
  <si>
    <t>補助事業者名　</t>
    <rPh sb="0" eb="2">
      <t>ホジョ</t>
    </rPh>
    <rPh sb="2" eb="5">
      <t>ジギョウシャ</t>
    </rPh>
    <rPh sb="5" eb="6">
      <t>メイ</t>
    </rPh>
    <phoneticPr fontId="9"/>
  </si>
  <si>
    <t>代表者職氏名</t>
    <rPh sb="0" eb="3">
      <t>ダイヒョウシャ</t>
    </rPh>
    <rPh sb="3" eb="4">
      <t>ショク</t>
    </rPh>
    <rPh sb="4" eb="6">
      <t>シメイ</t>
    </rPh>
    <phoneticPr fontId="42"/>
  </si>
  <si>
    <t>(注）節の金額が他の事業を含む場合は、当該補助対象事業分を備考欄に記入すること。</t>
    <rPh sb="1" eb="2">
      <t>チュウ</t>
    </rPh>
    <rPh sb="3" eb="4">
      <t>セツ</t>
    </rPh>
    <rPh sb="5" eb="7">
      <t>キンガク</t>
    </rPh>
    <rPh sb="8" eb="9">
      <t>タ</t>
    </rPh>
    <rPh sb="10" eb="12">
      <t>ジギョウ</t>
    </rPh>
    <rPh sb="13" eb="14">
      <t>フク</t>
    </rPh>
    <rPh sb="15" eb="17">
      <t>バアイ</t>
    </rPh>
    <rPh sb="19" eb="21">
      <t>トウガイ</t>
    </rPh>
    <rPh sb="21" eb="23">
      <t>ホジョ</t>
    </rPh>
    <rPh sb="23" eb="25">
      <t>タイショウ</t>
    </rPh>
    <rPh sb="25" eb="27">
      <t>ジギョウ</t>
    </rPh>
    <rPh sb="27" eb="28">
      <t>ブン</t>
    </rPh>
    <rPh sb="29" eb="31">
      <t>ビコウ</t>
    </rPh>
    <rPh sb="31" eb="32">
      <t>ラン</t>
    </rPh>
    <rPh sb="33" eb="35">
      <t>キニュウ</t>
    </rPh>
    <phoneticPr fontId="42"/>
  </si>
  <si>
    <t>交付申請（２次以降）</t>
    <rPh sb="0" eb="2">
      <t>コウフ</t>
    </rPh>
    <rPh sb="2" eb="4">
      <t>シンセイ</t>
    </rPh>
    <rPh sb="6" eb="7">
      <t>ジ</t>
    </rPh>
    <rPh sb="7" eb="9">
      <t>イコウ</t>
    </rPh>
    <phoneticPr fontId="5"/>
  </si>
  <si>
    <t>簡易陰圧装置</t>
    <rPh sb="0" eb="2">
      <t>カンイ</t>
    </rPh>
    <rPh sb="2" eb="4">
      <t>インアツ</t>
    </rPh>
    <rPh sb="4" eb="6">
      <t>ソウチ</t>
    </rPh>
    <phoneticPr fontId="5"/>
  </si>
  <si>
    <t>簡易ベッド</t>
    <rPh sb="0" eb="2">
      <t>カンイ</t>
    </rPh>
    <phoneticPr fontId="5"/>
  </si>
  <si>
    <t>体外式膜型人工肺</t>
    <rPh sb="0" eb="3">
      <t>タイガイシキ</t>
    </rPh>
    <rPh sb="3" eb="4">
      <t>マク</t>
    </rPh>
    <rPh sb="4" eb="5">
      <t>ガタ</t>
    </rPh>
    <rPh sb="5" eb="7">
      <t>ジンコウ</t>
    </rPh>
    <rPh sb="7" eb="8">
      <t>ハイ</t>
    </rPh>
    <phoneticPr fontId="5"/>
  </si>
  <si>
    <t>紫外線照射装置</t>
    <rPh sb="0" eb="3">
      <t>シガイセン</t>
    </rPh>
    <rPh sb="3" eb="5">
      <t>ショウシャ</t>
    </rPh>
    <rPh sb="5" eb="7">
      <t>ソウチ</t>
    </rPh>
    <phoneticPr fontId="5"/>
  </si>
  <si>
    <t>【注意１】！！発注書、見積書、カタログ等の提出は不要です。！！
【注意２】記載にあたってはお手元の発注書、見積書、カタログ等に記載の金額と一致するようにしてください。
【注意３】購入数量が人員配置に対し過剰と見受けられる場合は、県から確認の連絡をさせていただく場合があります。</t>
  </si>
  <si>
    <t>　なお、本協議を行う者は、補助事業者として補助金等に係る予算の執行の適正化に関する法律（昭和三十年法律第百七十九号）（以下、「法」という。）第３条第２項に定める責務を負うものであること及び、本協議は法第26条第１項及び第２項に基づき本補助金に係る事務を実施することとした都道府県が法第６条に基づく交付決定を行うにあたり補助事業等の目的及び内容が適正であるかどうかを確認するために行うためのものであり、補助事業者として協議に係る補助事業の目的及び内容について必要な説明責任を負うものであることについて確認しました。</t>
    <rPh sb="4" eb="7">
      <t>ホンキョウギ</t>
    </rPh>
    <rPh sb="8" eb="9">
      <t>オコナ</t>
    </rPh>
    <rPh sb="10" eb="11">
      <t>モノ</t>
    </rPh>
    <rPh sb="13" eb="15">
      <t>ホジョ</t>
    </rPh>
    <rPh sb="15" eb="18">
      <t>ジギョウシャ</t>
    </rPh>
    <rPh sb="21" eb="24">
      <t>ホジョキン</t>
    </rPh>
    <rPh sb="24" eb="25">
      <t>トウ</t>
    </rPh>
    <rPh sb="26" eb="27">
      <t>カカ</t>
    </rPh>
    <rPh sb="28" eb="30">
      <t>ヨサン</t>
    </rPh>
    <rPh sb="31" eb="33">
      <t>シッコウ</t>
    </rPh>
    <rPh sb="34" eb="37">
      <t>テキセイカ</t>
    </rPh>
    <rPh sb="38" eb="39">
      <t>カン</t>
    </rPh>
    <rPh sb="41" eb="43">
      <t>ホウリツ</t>
    </rPh>
    <rPh sb="44" eb="46">
      <t>ショウワ</t>
    </rPh>
    <rPh sb="46" eb="49">
      <t>サンジュウネン</t>
    </rPh>
    <rPh sb="49" eb="51">
      <t>ホウリツ</t>
    </rPh>
    <rPh sb="51" eb="52">
      <t>ダイ</t>
    </rPh>
    <rPh sb="52" eb="57">
      <t>ヒャクナナジュウキュウゴウ</t>
    </rPh>
    <rPh sb="59" eb="61">
      <t>イカ</t>
    </rPh>
    <rPh sb="63" eb="64">
      <t>ホウ</t>
    </rPh>
    <rPh sb="70" eb="71">
      <t>ダイ</t>
    </rPh>
    <rPh sb="72" eb="73">
      <t>ジョウ</t>
    </rPh>
    <rPh sb="73" eb="74">
      <t>ダイ</t>
    </rPh>
    <rPh sb="75" eb="76">
      <t>コウ</t>
    </rPh>
    <rPh sb="77" eb="78">
      <t>サダ</t>
    </rPh>
    <rPh sb="80" eb="82">
      <t>セキム</t>
    </rPh>
    <rPh sb="83" eb="84">
      <t>オ</t>
    </rPh>
    <rPh sb="92" eb="93">
      <t>オヨ</t>
    </rPh>
    <rPh sb="95" eb="98">
      <t>ホンキョウギ</t>
    </rPh>
    <rPh sb="100" eb="101">
      <t>ダイ</t>
    </rPh>
    <rPh sb="103" eb="104">
      <t>ジョウ</t>
    </rPh>
    <rPh sb="104" eb="105">
      <t>ダイ</t>
    </rPh>
    <rPh sb="106" eb="107">
      <t>コウ</t>
    </rPh>
    <rPh sb="107" eb="108">
      <t>オヨ</t>
    </rPh>
    <rPh sb="109" eb="110">
      <t>ダイ</t>
    </rPh>
    <rPh sb="111" eb="112">
      <t>コウ</t>
    </rPh>
    <rPh sb="113" eb="114">
      <t>モト</t>
    </rPh>
    <rPh sb="116" eb="117">
      <t>ホン</t>
    </rPh>
    <rPh sb="117" eb="120">
      <t>ホジョキン</t>
    </rPh>
    <rPh sb="121" eb="122">
      <t>カカ</t>
    </rPh>
    <rPh sb="123" eb="125">
      <t>ジム</t>
    </rPh>
    <rPh sb="126" eb="128">
      <t>ジッシ</t>
    </rPh>
    <rPh sb="135" eb="139">
      <t>トドウフケン</t>
    </rPh>
    <rPh sb="141" eb="142">
      <t>ダイ</t>
    </rPh>
    <rPh sb="143" eb="144">
      <t>ジョウ</t>
    </rPh>
    <rPh sb="145" eb="146">
      <t>モト</t>
    </rPh>
    <rPh sb="148" eb="150">
      <t>コウフ</t>
    </rPh>
    <rPh sb="150" eb="152">
      <t>ケッテイ</t>
    </rPh>
    <rPh sb="153" eb="154">
      <t>オコナ</t>
    </rPh>
    <rPh sb="182" eb="184">
      <t>カクニン</t>
    </rPh>
    <rPh sb="189" eb="190">
      <t>オコナ</t>
    </rPh>
    <rPh sb="200" eb="202">
      <t>ホジョ</t>
    </rPh>
    <rPh sb="202" eb="205">
      <t>ジギョウシャ</t>
    </rPh>
    <rPh sb="208" eb="210">
      <t>キョウギ</t>
    </rPh>
    <rPh sb="211" eb="212">
      <t>カカ</t>
    </rPh>
    <rPh sb="213" eb="215">
      <t>ホジョ</t>
    </rPh>
    <rPh sb="215" eb="217">
      <t>ジギョウ</t>
    </rPh>
    <rPh sb="218" eb="220">
      <t>モクテキ</t>
    </rPh>
    <rPh sb="220" eb="221">
      <t>オヨ</t>
    </rPh>
    <rPh sb="222" eb="224">
      <t>ナイヨウ</t>
    </rPh>
    <rPh sb="228" eb="230">
      <t>ヒツヨウ</t>
    </rPh>
    <rPh sb="231" eb="233">
      <t>セツメイ</t>
    </rPh>
    <rPh sb="233" eb="235">
      <t>セキニン</t>
    </rPh>
    <rPh sb="249" eb="251">
      <t>カクニン</t>
    </rPh>
    <phoneticPr fontId="5"/>
  </si>
  <si>
    <t>県入力欄</t>
    <rPh sb="0" eb="1">
      <t>ケン</t>
    </rPh>
    <rPh sb="1" eb="3">
      <t>ニュウリョク</t>
    </rPh>
    <rPh sb="3" eb="4">
      <t>ラン</t>
    </rPh>
    <phoneticPr fontId="5"/>
  </si>
  <si>
    <t>緊急フェーズ</t>
    <rPh sb="0" eb="2">
      <t>キンキュウ</t>
    </rPh>
    <phoneticPr fontId="5"/>
  </si>
  <si>
    <t>フェーズ２</t>
    <phoneticPr fontId="5"/>
  </si>
  <si>
    <t>平均</t>
    <rPh sb="0" eb="2">
      <t>ヘイキン</t>
    </rPh>
    <phoneticPr fontId="5"/>
  </si>
  <si>
    <t>病床使用率</t>
    <rPh sb="0" eb="2">
      <t>ビョウショウ</t>
    </rPh>
    <rPh sb="2" eb="5">
      <t>シヨウリツ</t>
    </rPh>
    <phoneticPr fontId="5"/>
  </si>
  <si>
    <t>病床数</t>
    <rPh sb="0" eb="3">
      <t>ビョウショウスウ</t>
    </rPh>
    <phoneticPr fontId="5"/>
  </si>
  <si>
    <t>フェーズ</t>
    <phoneticPr fontId="5"/>
  </si>
  <si>
    <t>８月</t>
    <rPh sb="1" eb="2">
      <t>ガツ</t>
    </rPh>
    <phoneticPr fontId="5"/>
  </si>
  <si>
    <t>９月</t>
    <rPh sb="1" eb="2">
      <t>ガツ</t>
    </rPh>
    <phoneticPr fontId="5"/>
  </si>
  <si>
    <t>10月</t>
    <rPh sb="2" eb="3">
      <t>ガツ</t>
    </rPh>
    <phoneticPr fontId="5"/>
  </si>
  <si>
    <t xml:space="preserve">ー </t>
    <phoneticPr fontId="5"/>
  </si>
  <si>
    <t>フェーズ２</t>
    <phoneticPr fontId="9"/>
  </si>
  <si>
    <t>緊急フェーズ</t>
    <rPh sb="0" eb="2">
      <t>キンキュウ</t>
    </rPh>
    <phoneticPr fontId="9"/>
  </si>
  <si>
    <t>（確保病床の「稼働日数※」及び「従事人数」（黄色セル）を記入してください。）
※令和4年10月1日（入院医療機関の指定を受けた日が10月1日以降の場合は、指定日）から令和5年3月31日
（または、入院医療機関の指定取下げ日）までの期間の従事日数</t>
    <rPh sb="1" eb="3">
      <t>カクホ</t>
    </rPh>
    <rPh sb="3" eb="5">
      <t>ビョウショウ</t>
    </rPh>
    <rPh sb="7" eb="9">
      <t>カドウ</t>
    </rPh>
    <rPh sb="13" eb="14">
      <t>オヨ</t>
    </rPh>
    <rPh sb="22" eb="24">
      <t>キイロ</t>
    </rPh>
    <rPh sb="50" eb="52">
      <t>ニュウイン</t>
    </rPh>
    <rPh sb="98" eb="100">
      <t>ニュウイン</t>
    </rPh>
    <rPh sb="100" eb="102">
      <t>イリョウ</t>
    </rPh>
    <phoneticPr fontId="9"/>
  </si>
  <si>
    <t>個別病床</t>
    <rPh sb="0" eb="2">
      <t>コベツ</t>
    </rPh>
    <rPh sb="2" eb="4">
      <t>ビョウショウ</t>
    </rPh>
    <phoneticPr fontId="9"/>
  </si>
  <si>
    <t>病床1</t>
    <rPh sb="0" eb="2">
      <t>ビョウショウ</t>
    </rPh>
    <phoneticPr fontId="9"/>
  </si>
  <si>
    <t>病床2</t>
    <rPh sb="0" eb="2">
      <t>ビョウショウ</t>
    </rPh>
    <phoneticPr fontId="9"/>
  </si>
  <si>
    <t>病床3</t>
    <rPh sb="0" eb="2">
      <t>ビョウショウ</t>
    </rPh>
    <phoneticPr fontId="9"/>
  </si>
  <si>
    <t>病床4</t>
    <rPh sb="0" eb="2">
      <t>ビョウショウ</t>
    </rPh>
    <phoneticPr fontId="9"/>
  </si>
  <si>
    <t>病床5</t>
    <rPh sb="0" eb="2">
      <t>ビョウショウ</t>
    </rPh>
    <phoneticPr fontId="9"/>
  </si>
  <si>
    <t>病床6</t>
    <rPh sb="0" eb="2">
      <t>ビョウショウ</t>
    </rPh>
    <phoneticPr fontId="9"/>
  </si>
  <si>
    <t>病床7</t>
    <rPh sb="0" eb="2">
      <t>ビョウショウ</t>
    </rPh>
    <phoneticPr fontId="9"/>
  </si>
  <si>
    <t>病床8</t>
    <rPh sb="0" eb="2">
      <t>ビョウショウ</t>
    </rPh>
    <phoneticPr fontId="9"/>
  </si>
  <si>
    <t>病床9</t>
    <rPh sb="0" eb="2">
      <t>ビョウショウ</t>
    </rPh>
    <phoneticPr fontId="9"/>
  </si>
  <si>
    <t>病床10</t>
    <rPh sb="0" eb="2">
      <t>ビョウショウ</t>
    </rPh>
    <phoneticPr fontId="9"/>
  </si>
  <si>
    <t>病床11</t>
    <rPh sb="0" eb="2">
      <t>ビョウショウ</t>
    </rPh>
    <phoneticPr fontId="9"/>
  </si>
  <si>
    <t>病床12</t>
    <rPh sb="0" eb="2">
      <t>ビョウショウ</t>
    </rPh>
    <phoneticPr fontId="9"/>
  </si>
  <si>
    <t>病床13</t>
    <rPh sb="0" eb="2">
      <t>ビョウショウ</t>
    </rPh>
    <phoneticPr fontId="9"/>
  </si>
  <si>
    <t>病床14</t>
    <rPh sb="0" eb="2">
      <t>ビョウショウ</t>
    </rPh>
    <phoneticPr fontId="9"/>
  </si>
  <si>
    <t>病床15</t>
    <rPh sb="0" eb="2">
      <t>ビョウショウ</t>
    </rPh>
    <phoneticPr fontId="9"/>
  </si>
  <si>
    <t>病床16</t>
    <rPh sb="0" eb="2">
      <t>ビョウショウ</t>
    </rPh>
    <phoneticPr fontId="9"/>
  </si>
  <si>
    <t>病床17</t>
    <rPh sb="0" eb="2">
      <t>ビョウショウ</t>
    </rPh>
    <phoneticPr fontId="9"/>
  </si>
  <si>
    <t>病床18</t>
    <rPh sb="0" eb="2">
      <t>ビョウショウ</t>
    </rPh>
    <phoneticPr fontId="9"/>
  </si>
  <si>
    <t>病床19</t>
    <rPh sb="0" eb="2">
      <t>ビョウショウ</t>
    </rPh>
    <phoneticPr fontId="9"/>
  </si>
  <si>
    <t>病床20</t>
    <rPh sb="0" eb="2">
      <t>ビョウショウ</t>
    </rPh>
    <phoneticPr fontId="9"/>
  </si>
  <si>
    <t>病床21</t>
    <rPh sb="0" eb="2">
      <t>ビョウショウ</t>
    </rPh>
    <phoneticPr fontId="9"/>
  </si>
  <si>
    <t>病床22</t>
    <rPh sb="0" eb="2">
      <t>ビョウショウ</t>
    </rPh>
    <phoneticPr fontId="9"/>
  </si>
  <si>
    <t>病床23</t>
    <rPh sb="0" eb="2">
      <t>ビョウショウ</t>
    </rPh>
    <phoneticPr fontId="9"/>
  </si>
  <si>
    <t>病床24</t>
    <rPh sb="0" eb="2">
      <t>ビョウショウ</t>
    </rPh>
    <phoneticPr fontId="9"/>
  </si>
  <si>
    <t>病床25</t>
    <rPh sb="0" eb="2">
      <t>ビョウショウ</t>
    </rPh>
    <phoneticPr fontId="9"/>
  </si>
  <si>
    <t>病床26</t>
    <rPh sb="0" eb="2">
      <t>ビョウショウ</t>
    </rPh>
    <phoneticPr fontId="9"/>
  </si>
  <si>
    <t>病床27</t>
    <rPh sb="0" eb="2">
      <t>ビョウショウ</t>
    </rPh>
    <phoneticPr fontId="9"/>
  </si>
  <si>
    <t>病床28</t>
    <rPh sb="0" eb="2">
      <t>ビョウショウ</t>
    </rPh>
    <phoneticPr fontId="9"/>
  </si>
  <si>
    <t>病床29</t>
    <rPh sb="0" eb="2">
      <t>ビョウショウ</t>
    </rPh>
    <phoneticPr fontId="9"/>
  </si>
  <si>
    <t>病床30</t>
    <rPh sb="0" eb="2">
      <t>ビョウショウ</t>
    </rPh>
    <phoneticPr fontId="9"/>
  </si>
  <si>
    <t>病床31</t>
    <rPh sb="0" eb="2">
      <t>ビョウショウ</t>
    </rPh>
    <phoneticPr fontId="9"/>
  </si>
  <si>
    <t>病床32</t>
    <rPh sb="0" eb="2">
      <t>ビョウショウ</t>
    </rPh>
    <phoneticPr fontId="9"/>
  </si>
  <si>
    <t>病床33</t>
    <rPh sb="0" eb="2">
      <t>ビョウショウ</t>
    </rPh>
    <phoneticPr fontId="9"/>
  </si>
  <si>
    <t>病床34</t>
    <rPh sb="0" eb="2">
      <t>ビョウショウ</t>
    </rPh>
    <phoneticPr fontId="9"/>
  </si>
  <si>
    <t>病床35</t>
    <rPh sb="0" eb="2">
      <t>ビョウショウ</t>
    </rPh>
    <phoneticPr fontId="9"/>
  </si>
  <si>
    <t>病床36</t>
    <rPh sb="0" eb="2">
      <t>ビョウショウ</t>
    </rPh>
    <phoneticPr fontId="9"/>
  </si>
  <si>
    <t>病床37</t>
    <rPh sb="0" eb="2">
      <t>ビョウショウ</t>
    </rPh>
    <phoneticPr fontId="9"/>
  </si>
  <si>
    <t>病床38</t>
    <rPh sb="0" eb="2">
      <t>ビョウショウ</t>
    </rPh>
    <phoneticPr fontId="9"/>
  </si>
  <si>
    <t>病床39</t>
    <rPh sb="0" eb="2">
      <t>ビョウショウ</t>
    </rPh>
    <phoneticPr fontId="9"/>
  </si>
  <si>
    <t>病床40</t>
    <rPh sb="0" eb="2">
      <t>ビョウショウ</t>
    </rPh>
    <phoneticPr fontId="9"/>
  </si>
  <si>
    <t>病床41</t>
    <rPh sb="0" eb="2">
      <t>ビョウショウ</t>
    </rPh>
    <phoneticPr fontId="9"/>
  </si>
  <si>
    <t>病床42</t>
    <rPh sb="0" eb="2">
      <t>ビョウショウ</t>
    </rPh>
    <phoneticPr fontId="9"/>
  </si>
  <si>
    <t>病床43</t>
    <rPh sb="0" eb="2">
      <t>ビョウショウ</t>
    </rPh>
    <phoneticPr fontId="9"/>
  </si>
  <si>
    <t>病床44</t>
    <rPh sb="0" eb="2">
      <t>ビョウショウ</t>
    </rPh>
    <phoneticPr fontId="9"/>
  </si>
  <si>
    <t>病床45</t>
    <rPh sb="0" eb="2">
      <t>ビョウショウ</t>
    </rPh>
    <phoneticPr fontId="9"/>
  </si>
  <si>
    <t>病床46</t>
    <rPh sb="0" eb="2">
      <t>ビョウショウ</t>
    </rPh>
    <phoneticPr fontId="9"/>
  </si>
  <si>
    <t>病床47</t>
    <rPh sb="0" eb="2">
      <t>ビョウショウ</t>
    </rPh>
    <phoneticPr fontId="9"/>
  </si>
  <si>
    <t>病床48</t>
    <rPh sb="0" eb="2">
      <t>ビョウショウ</t>
    </rPh>
    <phoneticPr fontId="9"/>
  </si>
  <si>
    <t>病床49</t>
    <rPh sb="0" eb="2">
      <t>ビョウショウ</t>
    </rPh>
    <phoneticPr fontId="9"/>
  </si>
  <si>
    <t>病床50</t>
    <rPh sb="0" eb="2">
      <t>ビョウショウ</t>
    </rPh>
    <phoneticPr fontId="9"/>
  </si>
  <si>
    <t>病床51</t>
    <rPh sb="0" eb="2">
      <t>ビョウショウ</t>
    </rPh>
    <phoneticPr fontId="9"/>
  </si>
  <si>
    <t>病床52</t>
    <rPh sb="0" eb="2">
      <t>ビョウショウ</t>
    </rPh>
    <phoneticPr fontId="9"/>
  </si>
  <si>
    <t>病床53</t>
    <rPh sb="0" eb="2">
      <t>ビョウショウ</t>
    </rPh>
    <phoneticPr fontId="9"/>
  </si>
  <si>
    <t>病床54</t>
    <rPh sb="0" eb="2">
      <t>ビョウショウ</t>
    </rPh>
    <phoneticPr fontId="9"/>
  </si>
  <si>
    <t>病床55</t>
    <rPh sb="0" eb="2">
      <t>ビョウショウ</t>
    </rPh>
    <phoneticPr fontId="9"/>
  </si>
  <si>
    <t>病床56</t>
    <rPh sb="0" eb="2">
      <t>ビョウショウ</t>
    </rPh>
    <phoneticPr fontId="9"/>
  </si>
  <si>
    <t>病床57</t>
    <rPh sb="0" eb="2">
      <t>ビョウショウ</t>
    </rPh>
    <phoneticPr fontId="9"/>
  </si>
  <si>
    <t>病床58</t>
    <rPh sb="0" eb="2">
      <t>ビョウショウ</t>
    </rPh>
    <phoneticPr fontId="9"/>
  </si>
  <si>
    <t>病床59</t>
    <rPh sb="0" eb="2">
      <t>ビョウショウ</t>
    </rPh>
    <phoneticPr fontId="9"/>
  </si>
  <si>
    <t>病床60</t>
    <rPh sb="0" eb="2">
      <t>ビョウショウ</t>
    </rPh>
    <phoneticPr fontId="9"/>
  </si>
  <si>
    <t>病床61</t>
    <rPh sb="0" eb="2">
      <t>ビョウショウ</t>
    </rPh>
    <phoneticPr fontId="9"/>
  </si>
  <si>
    <t>病床62</t>
    <rPh sb="0" eb="2">
      <t>ビョウショウ</t>
    </rPh>
    <phoneticPr fontId="9"/>
  </si>
  <si>
    <t>病床63</t>
    <rPh sb="0" eb="2">
      <t>ビョウショウ</t>
    </rPh>
    <phoneticPr fontId="9"/>
  </si>
  <si>
    <t>病床64</t>
    <rPh sb="0" eb="2">
      <t>ビョウショウ</t>
    </rPh>
    <phoneticPr fontId="9"/>
  </si>
  <si>
    <t>病床65</t>
    <rPh sb="0" eb="2">
      <t>ビョウショウ</t>
    </rPh>
    <phoneticPr fontId="9"/>
  </si>
  <si>
    <t>病床66</t>
    <rPh sb="0" eb="2">
      <t>ビョウショウ</t>
    </rPh>
    <phoneticPr fontId="9"/>
  </si>
  <si>
    <t>病床67</t>
    <rPh sb="0" eb="2">
      <t>ビョウショウ</t>
    </rPh>
    <phoneticPr fontId="9"/>
  </si>
  <si>
    <t>病床68</t>
    <rPh sb="0" eb="2">
      <t>ビョウショウ</t>
    </rPh>
    <phoneticPr fontId="9"/>
  </si>
  <si>
    <t>病床69</t>
    <rPh sb="0" eb="2">
      <t>ビョウショウ</t>
    </rPh>
    <phoneticPr fontId="9"/>
  </si>
  <si>
    <t>病床70</t>
    <rPh sb="0" eb="2">
      <t>ビョウショウ</t>
    </rPh>
    <phoneticPr fontId="9"/>
  </si>
  <si>
    <t>病床71</t>
    <rPh sb="0" eb="2">
      <t>ビョウショウ</t>
    </rPh>
    <phoneticPr fontId="9"/>
  </si>
  <si>
    <t>病床72</t>
    <rPh sb="0" eb="2">
      <t>ビョウショウ</t>
    </rPh>
    <phoneticPr fontId="9"/>
  </si>
  <si>
    <t>病床73</t>
    <rPh sb="0" eb="2">
      <t>ビョウショウ</t>
    </rPh>
    <phoneticPr fontId="9"/>
  </si>
  <si>
    <t>病床74</t>
    <rPh sb="0" eb="2">
      <t>ビョウショウ</t>
    </rPh>
    <phoneticPr fontId="9"/>
  </si>
  <si>
    <t>病床75</t>
    <rPh sb="0" eb="2">
      <t>ビョウショウ</t>
    </rPh>
    <phoneticPr fontId="9"/>
  </si>
  <si>
    <t>病床76</t>
    <rPh sb="0" eb="2">
      <t>ビョウショウ</t>
    </rPh>
    <phoneticPr fontId="9"/>
  </si>
  <si>
    <t>病床77</t>
    <rPh sb="0" eb="2">
      <t>ビョウショウ</t>
    </rPh>
    <phoneticPr fontId="9"/>
  </si>
  <si>
    <t>病床78</t>
    <rPh sb="0" eb="2">
      <t>ビョウショウ</t>
    </rPh>
    <phoneticPr fontId="9"/>
  </si>
  <si>
    <t>病床79</t>
    <rPh sb="0" eb="2">
      <t>ビョウショウ</t>
    </rPh>
    <phoneticPr fontId="9"/>
  </si>
  <si>
    <t>病床80</t>
    <rPh sb="0" eb="2">
      <t>ビョウショウ</t>
    </rPh>
    <phoneticPr fontId="9"/>
  </si>
  <si>
    <t>病床81</t>
    <rPh sb="0" eb="2">
      <t>ビョウショウ</t>
    </rPh>
    <phoneticPr fontId="9"/>
  </si>
  <si>
    <t>病床82</t>
    <rPh sb="0" eb="2">
      <t>ビョウショウ</t>
    </rPh>
    <phoneticPr fontId="9"/>
  </si>
  <si>
    <t>病床83</t>
    <rPh sb="0" eb="2">
      <t>ビョウショウ</t>
    </rPh>
    <phoneticPr fontId="9"/>
  </si>
  <si>
    <t>病床84</t>
    <rPh sb="0" eb="2">
      <t>ビョウショウ</t>
    </rPh>
    <phoneticPr fontId="9"/>
  </si>
  <si>
    <t>病床85</t>
    <rPh sb="0" eb="2">
      <t>ビョウショウ</t>
    </rPh>
    <phoneticPr fontId="9"/>
  </si>
  <si>
    <t>病床86</t>
    <rPh sb="0" eb="2">
      <t>ビョウショウ</t>
    </rPh>
    <phoneticPr fontId="9"/>
  </si>
  <si>
    <t>病床87</t>
    <rPh sb="0" eb="2">
      <t>ビョウショウ</t>
    </rPh>
    <phoneticPr fontId="9"/>
  </si>
  <si>
    <t>病床88</t>
    <rPh sb="0" eb="2">
      <t>ビョウショウ</t>
    </rPh>
    <phoneticPr fontId="9"/>
  </si>
  <si>
    <t>病床89</t>
    <rPh sb="0" eb="2">
      <t>ビョウショウ</t>
    </rPh>
    <phoneticPr fontId="9"/>
  </si>
  <si>
    <t>病床90</t>
    <rPh sb="0" eb="2">
      <t>ビョウショウ</t>
    </rPh>
    <phoneticPr fontId="9"/>
  </si>
  <si>
    <t>病床91</t>
    <rPh sb="0" eb="2">
      <t>ビョウショウ</t>
    </rPh>
    <phoneticPr fontId="9"/>
  </si>
  <si>
    <t>病床92</t>
    <rPh sb="0" eb="2">
      <t>ビョウショウ</t>
    </rPh>
    <phoneticPr fontId="9"/>
  </si>
  <si>
    <t>病床93</t>
    <rPh sb="0" eb="2">
      <t>ビョウショウ</t>
    </rPh>
    <phoneticPr fontId="9"/>
  </si>
  <si>
    <t>病床94</t>
    <rPh sb="0" eb="2">
      <t>ビョウショウ</t>
    </rPh>
    <phoneticPr fontId="9"/>
  </si>
  <si>
    <t>病床95</t>
    <rPh sb="0" eb="2">
      <t>ビョウショウ</t>
    </rPh>
    <phoneticPr fontId="9"/>
  </si>
  <si>
    <t>病床96</t>
    <rPh sb="0" eb="2">
      <t>ビョウショウ</t>
    </rPh>
    <phoneticPr fontId="9"/>
  </si>
  <si>
    <t>病床97</t>
    <rPh sb="0" eb="2">
      <t>ビョウショウ</t>
    </rPh>
    <phoneticPr fontId="9"/>
  </si>
  <si>
    <t>病床98</t>
    <rPh sb="0" eb="2">
      <t>ビョウショウ</t>
    </rPh>
    <phoneticPr fontId="9"/>
  </si>
  <si>
    <t>病床99</t>
    <rPh sb="0" eb="2">
      <t>ビョウショウ</t>
    </rPh>
    <phoneticPr fontId="9"/>
  </si>
  <si>
    <t>病床100</t>
    <rPh sb="0" eb="2">
      <t>ビョウショウ</t>
    </rPh>
    <phoneticPr fontId="9"/>
  </si>
  <si>
    <t>病床101</t>
    <rPh sb="0" eb="2">
      <t>ビョウショウ</t>
    </rPh>
    <phoneticPr fontId="9"/>
  </si>
  <si>
    <t>病床102</t>
    <rPh sb="0" eb="2">
      <t>ビョウショウ</t>
    </rPh>
    <phoneticPr fontId="9"/>
  </si>
  <si>
    <t>病床103</t>
    <rPh sb="0" eb="2">
      <t>ビョウショウ</t>
    </rPh>
    <phoneticPr fontId="9"/>
  </si>
  <si>
    <t>病床104</t>
    <rPh sb="0" eb="2">
      <t>ビョウショウ</t>
    </rPh>
    <phoneticPr fontId="9"/>
  </si>
  <si>
    <t>病床105</t>
    <rPh sb="0" eb="2">
      <t>ビョウショウ</t>
    </rPh>
    <phoneticPr fontId="9"/>
  </si>
  <si>
    <t>病床106</t>
    <rPh sb="0" eb="2">
      <t>ビョウショウ</t>
    </rPh>
    <phoneticPr fontId="9"/>
  </si>
  <si>
    <t>病床107</t>
    <rPh sb="0" eb="2">
      <t>ビョウショウ</t>
    </rPh>
    <phoneticPr fontId="9"/>
  </si>
  <si>
    <t>病床108</t>
    <rPh sb="0" eb="2">
      <t>ビョウショウ</t>
    </rPh>
    <phoneticPr fontId="9"/>
  </si>
  <si>
    <t>病床109</t>
    <rPh sb="0" eb="2">
      <t>ビョウショウ</t>
    </rPh>
    <phoneticPr fontId="9"/>
  </si>
  <si>
    <t>病床110</t>
    <rPh sb="0" eb="2">
      <t>ビョウショウ</t>
    </rPh>
    <phoneticPr fontId="9"/>
  </si>
  <si>
    <t>病床111</t>
    <rPh sb="0" eb="2">
      <t>ビョウショウ</t>
    </rPh>
    <phoneticPr fontId="9"/>
  </si>
  <si>
    <t>病床112</t>
    <rPh sb="0" eb="2">
      <t>ビョウショウ</t>
    </rPh>
    <phoneticPr fontId="9"/>
  </si>
  <si>
    <t>病床113</t>
    <rPh sb="0" eb="2">
      <t>ビョウショウ</t>
    </rPh>
    <phoneticPr fontId="9"/>
  </si>
  <si>
    <t>病床114</t>
    <rPh sb="0" eb="2">
      <t>ビョウショウ</t>
    </rPh>
    <phoneticPr fontId="9"/>
  </si>
  <si>
    <t>病床115</t>
    <rPh sb="0" eb="2">
      <t>ビョウショウ</t>
    </rPh>
    <phoneticPr fontId="9"/>
  </si>
  <si>
    <t>病床116</t>
    <rPh sb="0" eb="2">
      <t>ビョウショウ</t>
    </rPh>
    <phoneticPr fontId="9"/>
  </si>
  <si>
    <t>病床117</t>
    <rPh sb="0" eb="2">
      <t>ビョウショウ</t>
    </rPh>
    <phoneticPr fontId="9"/>
  </si>
  <si>
    <t>病床118</t>
    <rPh sb="0" eb="2">
      <t>ビョウショウ</t>
    </rPh>
    <phoneticPr fontId="9"/>
  </si>
  <si>
    <t>病床119</t>
    <rPh sb="0" eb="2">
      <t>ビョウショウ</t>
    </rPh>
    <phoneticPr fontId="9"/>
  </si>
  <si>
    <t>病床120</t>
    <rPh sb="0" eb="2">
      <t>ビョウショウ</t>
    </rPh>
    <phoneticPr fontId="9"/>
  </si>
  <si>
    <t>病床121</t>
    <rPh sb="0" eb="2">
      <t>ビョウショウ</t>
    </rPh>
    <phoneticPr fontId="9"/>
  </si>
  <si>
    <t>病床122</t>
    <rPh sb="0" eb="2">
      <t>ビョウショウ</t>
    </rPh>
    <phoneticPr fontId="9"/>
  </si>
  <si>
    <t>病床123</t>
    <rPh sb="0" eb="2">
      <t>ビョウショウ</t>
    </rPh>
    <phoneticPr fontId="9"/>
  </si>
  <si>
    <t>病床124</t>
    <rPh sb="0" eb="2">
      <t>ビョウショウ</t>
    </rPh>
    <phoneticPr fontId="9"/>
  </si>
  <si>
    <t>病床125</t>
    <rPh sb="0" eb="2">
      <t>ビョウショウ</t>
    </rPh>
    <phoneticPr fontId="9"/>
  </si>
  <si>
    <t>病床126</t>
    <rPh sb="0" eb="2">
      <t>ビョウショウ</t>
    </rPh>
    <phoneticPr fontId="9"/>
  </si>
  <si>
    <t>病床127</t>
    <rPh sb="0" eb="2">
      <t>ビョウショウ</t>
    </rPh>
    <phoneticPr fontId="9"/>
  </si>
  <si>
    <t>病床128</t>
    <rPh sb="0" eb="2">
      <t>ビョウショウ</t>
    </rPh>
    <phoneticPr fontId="9"/>
  </si>
  <si>
    <t>病床129</t>
    <rPh sb="0" eb="2">
      <t>ビョウショウ</t>
    </rPh>
    <phoneticPr fontId="9"/>
  </si>
  <si>
    <t>病床130</t>
    <rPh sb="0" eb="2">
      <t>ビョウショウ</t>
    </rPh>
    <phoneticPr fontId="9"/>
  </si>
  <si>
    <t>病床131</t>
    <rPh sb="0" eb="2">
      <t>ビョウショウ</t>
    </rPh>
    <phoneticPr fontId="9"/>
  </si>
  <si>
    <t>病床132</t>
    <rPh sb="0" eb="2">
      <t>ビョウショウ</t>
    </rPh>
    <phoneticPr fontId="9"/>
  </si>
  <si>
    <t>病床133</t>
    <rPh sb="0" eb="2">
      <t>ビョウショウ</t>
    </rPh>
    <phoneticPr fontId="9"/>
  </si>
  <si>
    <t>病床134</t>
    <rPh sb="0" eb="2">
      <t>ビョウショウ</t>
    </rPh>
    <phoneticPr fontId="9"/>
  </si>
  <si>
    <t>病床135</t>
    <rPh sb="0" eb="2">
      <t>ビョウショウ</t>
    </rPh>
    <phoneticPr fontId="9"/>
  </si>
  <si>
    <t>病床136</t>
    <rPh sb="0" eb="2">
      <t>ビョウショウ</t>
    </rPh>
    <phoneticPr fontId="9"/>
  </si>
  <si>
    <t>病床137</t>
    <rPh sb="0" eb="2">
      <t>ビョウショウ</t>
    </rPh>
    <phoneticPr fontId="9"/>
  </si>
  <si>
    <t>病床138</t>
    <rPh sb="0" eb="2">
      <t>ビョウショウ</t>
    </rPh>
    <phoneticPr fontId="9"/>
  </si>
  <si>
    <t>病床139</t>
    <rPh sb="0" eb="2">
      <t>ビョウショウ</t>
    </rPh>
    <phoneticPr fontId="9"/>
  </si>
  <si>
    <t>病床140</t>
    <rPh sb="0" eb="2">
      <t>ビョウショウ</t>
    </rPh>
    <phoneticPr fontId="9"/>
  </si>
  <si>
    <t>病床141</t>
    <rPh sb="0" eb="2">
      <t>ビョウショウ</t>
    </rPh>
    <phoneticPr fontId="9"/>
  </si>
  <si>
    <t>病床142</t>
    <rPh sb="0" eb="2">
      <t>ビョウショウ</t>
    </rPh>
    <phoneticPr fontId="9"/>
  </si>
  <si>
    <t>病床143</t>
    <rPh sb="0" eb="2">
      <t>ビョウショウ</t>
    </rPh>
    <phoneticPr fontId="9"/>
  </si>
  <si>
    <t>病床144</t>
    <rPh sb="0" eb="2">
      <t>ビョウショウ</t>
    </rPh>
    <phoneticPr fontId="9"/>
  </si>
  <si>
    <t>病床145</t>
    <rPh sb="0" eb="2">
      <t>ビョウショウ</t>
    </rPh>
    <phoneticPr fontId="9"/>
  </si>
  <si>
    <t>病床146</t>
    <rPh sb="0" eb="2">
      <t>ビョウショウ</t>
    </rPh>
    <phoneticPr fontId="9"/>
  </si>
  <si>
    <t>病床147</t>
    <rPh sb="0" eb="2">
      <t>ビョウショウ</t>
    </rPh>
    <phoneticPr fontId="9"/>
  </si>
  <si>
    <t>病床148</t>
    <rPh sb="0" eb="2">
      <t>ビョウショウ</t>
    </rPh>
    <phoneticPr fontId="9"/>
  </si>
  <si>
    <t>病床149</t>
    <rPh sb="0" eb="2">
      <t>ビョウショウ</t>
    </rPh>
    <phoneticPr fontId="9"/>
  </si>
  <si>
    <t>病床150</t>
    <rPh sb="0" eb="2">
      <t>ビョウショウ</t>
    </rPh>
    <phoneticPr fontId="9"/>
  </si>
  <si>
    <t>共通1</t>
    <rPh sb="0" eb="2">
      <t>キョウツウ</t>
    </rPh>
    <phoneticPr fontId="9"/>
  </si>
  <si>
    <t>共通2</t>
    <rPh sb="0" eb="2">
      <t>キョウツウ</t>
    </rPh>
    <phoneticPr fontId="9"/>
  </si>
  <si>
    <t>共通3</t>
    <rPh sb="0" eb="2">
      <t>キョウツウ</t>
    </rPh>
    <phoneticPr fontId="9"/>
  </si>
  <si>
    <t>共通4</t>
    <rPh sb="0" eb="2">
      <t>キョウツウ</t>
    </rPh>
    <phoneticPr fontId="9"/>
  </si>
  <si>
    <t>共通5</t>
    <rPh sb="0" eb="2">
      <t>キョウツウ</t>
    </rPh>
    <phoneticPr fontId="9"/>
  </si>
  <si>
    <t>共通6</t>
    <rPh sb="0" eb="2">
      <t>キョウツウ</t>
    </rPh>
    <phoneticPr fontId="9"/>
  </si>
  <si>
    <t>共通7</t>
    <rPh sb="0" eb="2">
      <t>キョウツウ</t>
    </rPh>
    <phoneticPr fontId="9"/>
  </si>
  <si>
    <t>共通8</t>
    <rPh sb="0" eb="2">
      <t>キョウツウ</t>
    </rPh>
    <phoneticPr fontId="9"/>
  </si>
  <si>
    <t>共通9</t>
    <rPh sb="0" eb="2">
      <t>キョウツウ</t>
    </rPh>
    <phoneticPr fontId="9"/>
  </si>
  <si>
    <t>共通10</t>
    <rPh sb="0" eb="2">
      <t>キョウツウ</t>
    </rPh>
    <phoneticPr fontId="9"/>
  </si>
  <si>
    <t>共通11</t>
    <rPh sb="0" eb="2">
      <t>キョウツウ</t>
    </rPh>
    <phoneticPr fontId="9"/>
  </si>
  <si>
    <t>共通12</t>
    <rPh sb="0" eb="2">
      <t>キョウツウ</t>
    </rPh>
    <phoneticPr fontId="9"/>
  </si>
  <si>
    <t>共通13</t>
    <rPh sb="0" eb="2">
      <t>キョウツウ</t>
    </rPh>
    <phoneticPr fontId="9"/>
  </si>
  <si>
    <t>共通14</t>
    <rPh sb="0" eb="2">
      <t>キョウツウ</t>
    </rPh>
    <phoneticPr fontId="9"/>
  </si>
  <si>
    <t>共通15</t>
    <rPh sb="0" eb="2">
      <t>キョウツウ</t>
    </rPh>
    <phoneticPr fontId="9"/>
  </si>
  <si>
    <t>共通16</t>
    <rPh sb="0" eb="2">
      <t>キョウツウ</t>
    </rPh>
    <phoneticPr fontId="9"/>
  </si>
  <si>
    <t>共通17</t>
    <rPh sb="0" eb="2">
      <t>キョウツウ</t>
    </rPh>
    <phoneticPr fontId="9"/>
  </si>
  <si>
    <t>共通18</t>
    <rPh sb="0" eb="2">
      <t>キョウツウ</t>
    </rPh>
    <phoneticPr fontId="9"/>
  </si>
  <si>
    <t>共通19</t>
    <rPh sb="0" eb="2">
      <t>キョウツウ</t>
    </rPh>
    <phoneticPr fontId="9"/>
  </si>
  <si>
    <t>共通20</t>
    <rPh sb="0" eb="2">
      <t>キョウツウ</t>
    </rPh>
    <phoneticPr fontId="9"/>
  </si>
  <si>
    <t>共通21</t>
    <rPh sb="0" eb="2">
      <t>キョウツウ</t>
    </rPh>
    <phoneticPr fontId="9"/>
  </si>
  <si>
    <t>共通22</t>
    <rPh sb="0" eb="2">
      <t>キョウツウ</t>
    </rPh>
    <phoneticPr fontId="9"/>
  </si>
  <si>
    <t>共通23</t>
    <rPh sb="0" eb="2">
      <t>キョウツウ</t>
    </rPh>
    <phoneticPr fontId="9"/>
  </si>
  <si>
    <t>共通24</t>
    <rPh sb="0" eb="2">
      <t>キョウツウ</t>
    </rPh>
    <phoneticPr fontId="9"/>
  </si>
  <si>
    <t>共通25</t>
    <rPh sb="0" eb="2">
      <t>キョウツウ</t>
    </rPh>
    <phoneticPr fontId="9"/>
  </si>
  <si>
    <t>共通26</t>
    <rPh sb="0" eb="2">
      <t>キョウツウ</t>
    </rPh>
    <phoneticPr fontId="9"/>
  </si>
  <si>
    <t>共通27</t>
    <rPh sb="0" eb="2">
      <t>キョウツウ</t>
    </rPh>
    <phoneticPr fontId="9"/>
  </si>
  <si>
    <t>共通28</t>
    <rPh sb="0" eb="2">
      <t>キョウツウ</t>
    </rPh>
    <phoneticPr fontId="9"/>
  </si>
  <si>
    <t>共通29</t>
    <rPh sb="0" eb="2">
      <t>キョウツウ</t>
    </rPh>
    <phoneticPr fontId="9"/>
  </si>
  <si>
    <t>共通30</t>
    <rPh sb="0" eb="2">
      <t>キョウツウ</t>
    </rPh>
    <phoneticPr fontId="9"/>
  </si>
  <si>
    <t>共通31</t>
    <rPh sb="0" eb="2">
      <t>キョウツウ</t>
    </rPh>
    <phoneticPr fontId="9"/>
  </si>
  <si>
    <t>共通32</t>
    <rPh sb="0" eb="2">
      <t>キョウツウ</t>
    </rPh>
    <phoneticPr fontId="9"/>
  </si>
  <si>
    <t>共通33</t>
    <rPh sb="0" eb="2">
      <t>キョウツウ</t>
    </rPh>
    <phoneticPr fontId="9"/>
  </si>
  <si>
    <t>共通34</t>
    <rPh sb="0" eb="2">
      <t>キョウツウ</t>
    </rPh>
    <phoneticPr fontId="9"/>
  </si>
  <si>
    <t>共通35</t>
    <rPh sb="0" eb="2">
      <t>キョウツウ</t>
    </rPh>
    <phoneticPr fontId="9"/>
  </si>
  <si>
    <t>共通36</t>
    <rPh sb="0" eb="2">
      <t>キョウツウ</t>
    </rPh>
    <phoneticPr fontId="9"/>
  </si>
  <si>
    <t>共通37</t>
    <rPh sb="0" eb="2">
      <t>キョウツウ</t>
    </rPh>
    <phoneticPr fontId="9"/>
  </si>
  <si>
    <t>共通38</t>
    <rPh sb="0" eb="2">
      <t>キョウツウ</t>
    </rPh>
    <phoneticPr fontId="9"/>
  </si>
  <si>
    <t>共通39</t>
    <rPh sb="0" eb="2">
      <t>キョウツウ</t>
    </rPh>
    <phoneticPr fontId="9"/>
  </si>
  <si>
    <t>共通40</t>
    <rPh sb="0" eb="2">
      <t>キョウツウ</t>
    </rPh>
    <phoneticPr fontId="9"/>
  </si>
  <si>
    <t>共通41</t>
    <rPh sb="0" eb="2">
      <t>キョウツウ</t>
    </rPh>
    <phoneticPr fontId="9"/>
  </si>
  <si>
    <t>共通42</t>
    <rPh sb="0" eb="2">
      <t>キョウツウ</t>
    </rPh>
    <phoneticPr fontId="9"/>
  </si>
  <si>
    <t>共通43</t>
    <rPh sb="0" eb="2">
      <t>キョウツウ</t>
    </rPh>
    <phoneticPr fontId="9"/>
  </si>
  <si>
    <t>共通44</t>
    <rPh sb="0" eb="2">
      <t>キョウツウ</t>
    </rPh>
    <phoneticPr fontId="9"/>
  </si>
  <si>
    <t>共通45</t>
    <rPh sb="0" eb="2">
      <t>キョウツウ</t>
    </rPh>
    <phoneticPr fontId="9"/>
  </si>
  <si>
    <t>共通46</t>
    <rPh sb="0" eb="2">
      <t>キョウツウ</t>
    </rPh>
    <phoneticPr fontId="9"/>
  </si>
  <si>
    <t>共通47</t>
    <rPh sb="0" eb="2">
      <t>キョウツウ</t>
    </rPh>
    <phoneticPr fontId="9"/>
  </si>
  <si>
    <t>共通48</t>
    <rPh sb="0" eb="2">
      <t>キョウツウ</t>
    </rPh>
    <phoneticPr fontId="9"/>
  </si>
  <si>
    <t>共通49</t>
    <rPh sb="0" eb="2">
      <t>キョウツウ</t>
    </rPh>
    <phoneticPr fontId="9"/>
  </si>
  <si>
    <t>共通50</t>
    <rPh sb="0" eb="2">
      <t>キョウツウ</t>
    </rPh>
    <phoneticPr fontId="9"/>
  </si>
  <si>
    <t>共通51</t>
    <rPh sb="0" eb="2">
      <t>キョウツウ</t>
    </rPh>
    <phoneticPr fontId="9"/>
  </si>
  <si>
    <t>共通52</t>
    <rPh sb="0" eb="2">
      <t>キョウツウ</t>
    </rPh>
    <phoneticPr fontId="9"/>
  </si>
  <si>
    <t>共通53</t>
    <rPh sb="0" eb="2">
      <t>キョウツウ</t>
    </rPh>
    <phoneticPr fontId="9"/>
  </si>
  <si>
    <t>共通54</t>
    <rPh sb="0" eb="2">
      <t>キョウツウ</t>
    </rPh>
    <phoneticPr fontId="9"/>
  </si>
  <si>
    <t>共通55</t>
    <rPh sb="0" eb="2">
      <t>キョウツウ</t>
    </rPh>
    <phoneticPr fontId="9"/>
  </si>
  <si>
    <t>共通56</t>
    <rPh sb="0" eb="2">
      <t>キョウツウ</t>
    </rPh>
    <phoneticPr fontId="9"/>
  </si>
  <si>
    <t>共通57</t>
    <rPh sb="0" eb="2">
      <t>キョウツウ</t>
    </rPh>
    <phoneticPr fontId="9"/>
  </si>
  <si>
    <t>共通58</t>
    <rPh sb="0" eb="2">
      <t>キョウツウ</t>
    </rPh>
    <phoneticPr fontId="9"/>
  </si>
  <si>
    <t>共通59</t>
    <rPh sb="0" eb="2">
      <t>キョウツウ</t>
    </rPh>
    <phoneticPr fontId="9"/>
  </si>
  <si>
    <t>共通60</t>
    <rPh sb="0" eb="2">
      <t>キョウツウ</t>
    </rPh>
    <phoneticPr fontId="9"/>
  </si>
  <si>
    <t>共通61</t>
    <rPh sb="0" eb="2">
      <t>キョウツウ</t>
    </rPh>
    <phoneticPr fontId="9"/>
  </si>
  <si>
    <t>共通62</t>
    <rPh sb="0" eb="2">
      <t>キョウツウ</t>
    </rPh>
    <phoneticPr fontId="9"/>
  </si>
  <si>
    <t>共通63</t>
    <rPh sb="0" eb="2">
      <t>キョウツウ</t>
    </rPh>
    <phoneticPr fontId="9"/>
  </si>
  <si>
    <t>共通64</t>
    <rPh sb="0" eb="2">
      <t>キョウツウ</t>
    </rPh>
    <phoneticPr fontId="9"/>
  </si>
  <si>
    <t>共通65</t>
    <rPh sb="0" eb="2">
      <t>キョウツウ</t>
    </rPh>
    <phoneticPr fontId="9"/>
  </si>
  <si>
    <t>共通66</t>
    <rPh sb="0" eb="2">
      <t>キョウツウ</t>
    </rPh>
    <phoneticPr fontId="9"/>
  </si>
  <si>
    <t>共通67</t>
    <rPh sb="0" eb="2">
      <t>キョウツウ</t>
    </rPh>
    <phoneticPr fontId="9"/>
  </si>
  <si>
    <t>共通68</t>
    <rPh sb="0" eb="2">
      <t>キョウツウ</t>
    </rPh>
    <phoneticPr fontId="9"/>
  </si>
  <si>
    <t>共通69</t>
    <rPh sb="0" eb="2">
      <t>キョウツウ</t>
    </rPh>
    <phoneticPr fontId="9"/>
  </si>
  <si>
    <t>共通70</t>
    <rPh sb="0" eb="2">
      <t>キョウツウ</t>
    </rPh>
    <phoneticPr fontId="9"/>
  </si>
  <si>
    <t>共通71</t>
    <rPh sb="0" eb="2">
      <t>キョウツウ</t>
    </rPh>
    <phoneticPr fontId="9"/>
  </si>
  <si>
    <t>共通72</t>
    <rPh sb="0" eb="2">
      <t>キョウツウ</t>
    </rPh>
    <phoneticPr fontId="9"/>
  </si>
  <si>
    <t>共通73</t>
    <rPh sb="0" eb="2">
      <t>キョウツウ</t>
    </rPh>
    <phoneticPr fontId="9"/>
  </si>
  <si>
    <t>共通74</t>
    <rPh sb="0" eb="2">
      <t>キョウツウ</t>
    </rPh>
    <phoneticPr fontId="9"/>
  </si>
  <si>
    <t>共通75</t>
    <rPh sb="0" eb="2">
      <t>キョウツウ</t>
    </rPh>
    <phoneticPr fontId="9"/>
  </si>
  <si>
    <t>共通76</t>
    <rPh sb="0" eb="2">
      <t>キョウツウ</t>
    </rPh>
    <phoneticPr fontId="9"/>
  </si>
  <si>
    <t>共通77</t>
    <rPh sb="0" eb="2">
      <t>キョウツウ</t>
    </rPh>
    <phoneticPr fontId="9"/>
  </si>
  <si>
    <t>共通78</t>
    <rPh sb="0" eb="2">
      <t>キョウツウ</t>
    </rPh>
    <phoneticPr fontId="9"/>
  </si>
  <si>
    <t>共通79</t>
    <rPh sb="0" eb="2">
      <t>キョウツウ</t>
    </rPh>
    <phoneticPr fontId="9"/>
  </si>
  <si>
    <t>共通80</t>
    <rPh sb="0" eb="2">
      <t>キョウツウ</t>
    </rPh>
    <phoneticPr fontId="9"/>
  </si>
  <si>
    <t>共通81</t>
    <rPh sb="0" eb="2">
      <t>キョウツウ</t>
    </rPh>
    <phoneticPr fontId="9"/>
  </si>
  <si>
    <t>共通82</t>
    <rPh sb="0" eb="2">
      <t>キョウツウ</t>
    </rPh>
    <phoneticPr fontId="9"/>
  </si>
  <si>
    <t>共通83</t>
    <rPh sb="0" eb="2">
      <t>キョウツウ</t>
    </rPh>
    <phoneticPr fontId="9"/>
  </si>
  <si>
    <t>共通84</t>
    <rPh sb="0" eb="2">
      <t>キョウツウ</t>
    </rPh>
    <phoneticPr fontId="9"/>
  </si>
  <si>
    <t>共通85</t>
    <rPh sb="0" eb="2">
      <t>キョウツウ</t>
    </rPh>
    <phoneticPr fontId="9"/>
  </si>
  <si>
    <t>共通86</t>
    <rPh sb="0" eb="2">
      <t>キョウツウ</t>
    </rPh>
    <phoneticPr fontId="9"/>
  </si>
  <si>
    <t>共通87</t>
    <rPh sb="0" eb="2">
      <t>キョウツウ</t>
    </rPh>
    <phoneticPr fontId="9"/>
  </si>
  <si>
    <t>共通88</t>
    <rPh sb="0" eb="2">
      <t>キョウツウ</t>
    </rPh>
    <phoneticPr fontId="9"/>
  </si>
  <si>
    <t>共通89</t>
    <rPh sb="0" eb="2">
      <t>キョウツウ</t>
    </rPh>
    <phoneticPr fontId="9"/>
  </si>
  <si>
    <t>共通90</t>
    <rPh sb="0" eb="2">
      <t>キョウツウ</t>
    </rPh>
    <phoneticPr fontId="9"/>
  </si>
  <si>
    <t>共通91</t>
    <rPh sb="0" eb="2">
      <t>キョウツウ</t>
    </rPh>
    <phoneticPr fontId="9"/>
  </si>
  <si>
    <t>共通92</t>
    <rPh sb="0" eb="2">
      <t>キョウツウ</t>
    </rPh>
    <phoneticPr fontId="9"/>
  </si>
  <si>
    <t>共通93</t>
    <rPh sb="0" eb="2">
      <t>キョウツウ</t>
    </rPh>
    <phoneticPr fontId="9"/>
  </si>
  <si>
    <t>共通94</t>
    <rPh sb="0" eb="2">
      <t>キョウツウ</t>
    </rPh>
    <phoneticPr fontId="9"/>
  </si>
  <si>
    <t>共通95</t>
    <rPh sb="0" eb="2">
      <t>キョウツウ</t>
    </rPh>
    <phoneticPr fontId="9"/>
  </si>
  <si>
    <t>共通96</t>
    <rPh sb="0" eb="2">
      <t>キョウツウ</t>
    </rPh>
    <phoneticPr fontId="9"/>
  </si>
  <si>
    <t>共通97</t>
    <rPh sb="0" eb="2">
      <t>キョウツウ</t>
    </rPh>
    <phoneticPr fontId="9"/>
  </si>
  <si>
    <t>共通98</t>
    <rPh sb="0" eb="2">
      <t>キョウツウ</t>
    </rPh>
    <phoneticPr fontId="9"/>
  </si>
  <si>
    <t>共通99</t>
    <rPh sb="0" eb="2">
      <t>キョウツウ</t>
    </rPh>
    <phoneticPr fontId="9"/>
  </si>
  <si>
    <t>共通100</t>
    <rPh sb="0" eb="2">
      <t>キョウツウ</t>
    </rPh>
    <phoneticPr fontId="9"/>
  </si>
  <si>
    <t>共通101</t>
    <rPh sb="0" eb="2">
      <t>キョウツウ</t>
    </rPh>
    <phoneticPr fontId="9"/>
  </si>
  <si>
    <t>共通102</t>
    <rPh sb="0" eb="2">
      <t>キョウツウ</t>
    </rPh>
    <phoneticPr fontId="9"/>
  </si>
  <si>
    <t>共通103</t>
    <rPh sb="0" eb="2">
      <t>キョウツウ</t>
    </rPh>
    <phoneticPr fontId="9"/>
  </si>
  <si>
    <t>共通104</t>
    <rPh sb="0" eb="2">
      <t>キョウツウ</t>
    </rPh>
    <phoneticPr fontId="9"/>
  </si>
  <si>
    <t>共通105</t>
    <rPh sb="0" eb="2">
      <t>キョウツウ</t>
    </rPh>
    <phoneticPr fontId="9"/>
  </si>
  <si>
    <t>共通106</t>
    <rPh sb="0" eb="2">
      <t>キョウツウ</t>
    </rPh>
    <phoneticPr fontId="9"/>
  </si>
  <si>
    <t>共通107</t>
    <rPh sb="0" eb="2">
      <t>キョウツウ</t>
    </rPh>
    <phoneticPr fontId="9"/>
  </si>
  <si>
    <t>共通108</t>
    <rPh sb="0" eb="2">
      <t>キョウツウ</t>
    </rPh>
    <phoneticPr fontId="9"/>
  </si>
  <si>
    <t>共通109</t>
    <rPh sb="0" eb="2">
      <t>キョウツウ</t>
    </rPh>
    <phoneticPr fontId="9"/>
  </si>
  <si>
    <t>共通110</t>
    <rPh sb="0" eb="2">
      <t>キョウツウ</t>
    </rPh>
    <phoneticPr fontId="9"/>
  </si>
  <si>
    <t>共通111</t>
    <rPh sb="0" eb="2">
      <t>キョウツウ</t>
    </rPh>
    <phoneticPr fontId="9"/>
  </si>
  <si>
    <t>共通112</t>
    <rPh sb="0" eb="2">
      <t>キョウツウ</t>
    </rPh>
    <phoneticPr fontId="9"/>
  </si>
  <si>
    <t>共通113</t>
    <rPh sb="0" eb="2">
      <t>キョウツウ</t>
    </rPh>
    <phoneticPr fontId="9"/>
  </si>
  <si>
    <t>共通114</t>
    <rPh sb="0" eb="2">
      <t>キョウツウ</t>
    </rPh>
    <phoneticPr fontId="9"/>
  </si>
  <si>
    <t>共通115</t>
    <rPh sb="0" eb="2">
      <t>キョウツウ</t>
    </rPh>
    <phoneticPr fontId="9"/>
  </si>
  <si>
    <t>共通116</t>
    <rPh sb="0" eb="2">
      <t>キョウツウ</t>
    </rPh>
    <phoneticPr fontId="9"/>
  </si>
  <si>
    <t>共通117</t>
    <rPh sb="0" eb="2">
      <t>キョウツウ</t>
    </rPh>
    <phoneticPr fontId="9"/>
  </si>
  <si>
    <t>共通118</t>
    <rPh sb="0" eb="2">
      <t>キョウツウ</t>
    </rPh>
    <phoneticPr fontId="9"/>
  </si>
  <si>
    <t>共通119</t>
    <rPh sb="0" eb="2">
      <t>キョウツウ</t>
    </rPh>
    <phoneticPr fontId="9"/>
  </si>
  <si>
    <t>共通120</t>
    <rPh sb="0" eb="2">
      <t>キョウツウ</t>
    </rPh>
    <phoneticPr fontId="9"/>
  </si>
  <si>
    <t>共通121</t>
    <rPh sb="0" eb="2">
      <t>キョウツウ</t>
    </rPh>
    <phoneticPr fontId="9"/>
  </si>
  <si>
    <t>共通122</t>
    <rPh sb="0" eb="2">
      <t>キョウツウ</t>
    </rPh>
    <phoneticPr fontId="9"/>
  </si>
  <si>
    <t>共通123</t>
    <rPh sb="0" eb="2">
      <t>キョウツウ</t>
    </rPh>
    <phoneticPr fontId="9"/>
  </si>
  <si>
    <t>共通124</t>
    <rPh sb="0" eb="2">
      <t>キョウツウ</t>
    </rPh>
    <phoneticPr fontId="9"/>
  </si>
  <si>
    <t>共通125</t>
    <rPh sb="0" eb="2">
      <t>キョウツウ</t>
    </rPh>
    <phoneticPr fontId="9"/>
  </si>
  <si>
    <t>共通126</t>
    <rPh sb="0" eb="2">
      <t>キョウツウ</t>
    </rPh>
    <phoneticPr fontId="9"/>
  </si>
  <si>
    <t>共通127</t>
    <rPh sb="0" eb="2">
      <t>キョウツウ</t>
    </rPh>
    <phoneticPr fontId="9"/>
  </si>
  <si>
    <t>共通128</t>
    <rPh sb="0" eb="2">
      <t>キョウツウ</t>
    </rPh>
    <phoneticPr fontId="9"/>
  </si>
  <si>
    <t>共通129</t>
    <rPh sb="0" eb="2">
      <t>キョウツウ</t>
    </rPh>
    <phoneticPr fontId="9"/>
  </si>
  <si>
    <t>共通130</t>
    <rPh sb="0" eb="2">
      <t>キョウツウ</t>
    </rPh>
    <phoneticPr fontId="9"/>
  </si>
  <si>
    <t>共通131</t>
    <rPh sb="0" eb="2">
      <t>キョウツウ</t>
    </rPh>
    <phoneticPr fontId="9"/>
  </si>
  <si>
    <t>共通132</t>
    <rPh sb="0" eb="2">
      <t>キョウツウ</t>
    </rPh>
    <phoneticPr fontId="9"/>
  </si>
  <si>
    <t>共通133</t>
    <rPh sb="0" eb="2">
      <t>キョウツウ</t>
    </rPh>
    <phoneticPr fontId="9"/>
  </si>
  <si>
    <t>共通134</t>
    <rPh sb="0" eb="2">
      <t>キョウツウ</t>
    </rPh>
    <phoneticPr fontId="9"/>
  </si>
  <si>
    <t>共通135</t>
    <rPh sb="0" eb="2">
      <t>キョウツウ</t>
    </rPh>
    <phoneticPr fontId="9"/>
  </si>
  <si>
    <t>共通136</t>
    <rPh sb="0" eb="2">
      <t>キョウツウ</t>
    </rPh>
    <phoneticPr fontId="9"/>
  </si>
  <si>
    <t>共通137</t>
    <rPh sb="0" eb="2">
      <t>キョウツウ</t>
    </rPh>
    <phoneticPr fontId="9"/>
  </si>
  <si>
    <t>共通138</t>
    <rPh sb="0" eb="2">
      <t>キョウツウ</t>
    </rPh>
    <phoneticPr fontId="9"/>
  </si>
  <si>
    <t>共通139</t>
    <rPh sb="0" eb="2">
      <t>キョウツウ</t>
    </rPh>
    <phoneticPr fontId="9"/>
  </si>
  <si>
    <t>共通140</t>
    <rPh sb="0" eb="2">
      <t>キョウツウ</t>
    </rPh>
    <phoneticPr fontId="9"/>
  </si>
  <si>
    <t>共通141</t>
    <rPh sb="0" eb="2">
      <t>キョウツウ</t>
    </rPh>
    <phoneticPr fontId="9"/>
  </si>
  <si>
    <t>共通142</t>
    <rPh sb="0" eb="2">
      <t>キョウツウ</t>
    </rPh>
    <phoneticPr fontId="9"/>
  </si>
  <si>
    <t>共通143</t>
    <rPh sb="0" eb="2">
      <t>キョウツウ</t>
    </rPh>
    <phoneticPr fontId="9"/>
  </si>
  <si>
    <t>共通144</t>
    <rPh sb="0" eb="2">
      <t>キョウツウ</t>
    </rPh>
    <phoneticPr fontId="9"/>
  </si>
  <si>
    <t>共通145</t>
    <rPh sb="0" eb="2">
      <t>キョウツウ</t>
    </rPh>
    <phoneticPr fontId="9"/>
  </si>
  <si>
    <t>共通146</t>
    <rPh sb="0" eb="2">
      <t>キョウツウ</t>
    </rPh>
    <phoneticPr fontId="9"/>
  </si>
  <si>
    <t>共通147</t>
    <rPh sb="0" eb="2">
      <t>キョウツウ</t>
    </rPh>
    <phoneticPr fontId="9"/>
  </si>
  <si>
    <t>共通148</t>
    <rPh sb="0" eb="2">
      <t>キョウツウ</t>
    </rPh>
    <phoneticPr fontId="9"/>
  </si>
  <si>
    <t>共通149</t>
    <rPh sb="0" eb="2">
      <t>キョウツウ</t>
    </rPh>
    <phoneticPr fontId="9"/>
  </si>
  <si>
    <t>共通150</t>
    <rPh sb="0" eb="2">
      <t>キョウツウ</t>
    </rPh>
    <phoneticPr fontId="9"/>
  </si>
  <si>
    <t>人工呼吸器</t>
    <rPh sb="0" eb="2">
      <t>ジンコウ</t>
    </rPh>
    <rPh sb="2" eb="5">
      <t>コキュウキ</t>
    </rPh>
    <phoneticPr fontId="5"/>
  </si>
  <si>
    <t>内、包括</t>
    <rPh sb="0" eb="1">
      <t>ウチ</t>
    </rPh>
    <rPh sb="2" eb="4">
      <t>ホウカツ</t>
    </rPh>
    <phoneticPr fontId="5"/>
  </si>
  <si>
    <t>内、創生</t>
    <rPh sb="0" eb="1">
      <t>ウチ</t>
    </rPh>
    <rPh sb="2" eb="4">
      <t>ソウセイ</t>
    </rPh>
    <phoneticPr fontId="5"/>
  </si>
  <si>
    <t>体外式膜型人工肺</t>
    <rPh sb="0" eb="3">
      <t>タイガイシキ</t>
    </rPh>
    <rPh sb="3" eb="4">
      <t>マク</t>
    </rPh>
    <rPh sb="4" eb="5">
      <t>ガタ</t>
    </rPh>
    <rPh sb="5" eb="8">
      <t>ジンコウハイ</t>
    </rPh>
    <phoneticPr fontId="5"/>
  </si>
  <si>
    <t>総事業費</t>
    <phoneticPr fontId="5"/>
  </si>
  <si>
    <t>差引事業費</t>
    <phoneticPr fontId="5"/>
  </si>
  <si>
    <t>対象経費</t>
    <phoneticPr fontId="5"/>
  </si>
  <si>
    <t>基準額</t>
    <phoneticPr fontId="5"/>
  </si>
  <si>
    <t>選定額</t>
    <phoneticPr fontId="5"/>
  </si>
  <si>
    <t>県補助基本額</t>
    <phoneticPr fontId="5"/>
  </si>
  <si>
    <t>県補助額</t>
    <phoneticPr fontId="5"/>
  </si>
  <si>
    <t>寄付金その他</t>
    <phoneticPr fontId="5"/>
  </si>
  <si>
    <t>－</t>
    <phoneticPr fontId="5"/>
  </si>
  <si>
    <t>確保病床数</t>
    <rPh sb="0" eb="2">
      <t>カクホ</t>
    </rPh>
    <rPh sb="2" eb="5">
      <t>ビョウショウスウ</t>
    </rPh>
    <phoneticPr fontId="9"/>
  </si>
  <si>
    <t>預金種別</t>
    <rPh sb="0" eb="2">
      <t>ヨキン</t>
    </rPh>
    <rPh sb="2" eb="4">
      <t>シュベツ</t>
    </rPh>
    <phoneticPr fontId="5"/>
  </si>
  <si>
    <t>血液浄化装置、分娩監視装置、新生児モニタを整備する場合、対象患者の受入が可能であることを確認する必要があるため、チェックしてください。</t>
    <phoneticPr fontId="5"/>
  </si>
  <si>
    <t>補助事業者名</t>
    <rPh sb="0" eb="2">
      <t>ホジョ</t>
    </rPh>
    <rPh sb="2" eb="4">
      <t>ジギョウ</t>
    </rPh>
    <rPh sb="4" eb="5">
      <t>シャ</t>
    </rPh>
    <rPh sb="5" eb="6">
      <t>メイ</t>
    </rPh>
    <phoneticPr fontId="5"/>
  </si>
  <si>
    <t>所在地</t>
    <rPh sb="0" eb="3">
      <t>ショザイチ</t>
    </rPh>
    <phoneticPr fontId="5"/>
  </si>
  <si>
    <t>代表者職氏名</t>
    <rPh sb="0" eb="3">
      <t>ダイヒョウシャ</t>
    </rPh>
    <rPh sb="3" eb="4">
      <t>ショク</t>
    </rPh>
    <rPh sb="4" eb="6">
      <t>シメイ</t>
    </rPh>
    <phoneticPr fontId="5"/>
  </si>
  <si>
    <t>提出日</t>
    <rPh sb="0" eb="2">
      <t>テイシュツ</t>
    </rPh>
    <rPh sb="2" eb="3">
      <t>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</si>
</sst>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0&quot;円&quot;"/>
    <numFmt numFmtId="177" formatCode="#,##0&quot;床&quot;"/>
    <numFmt numFmtId="178" formatCode="#,##0_ "/>
    <numFmt numFmtId="179" formatCode="[$-411]ggge&quot;年&quot;m&quot;月&quot;d&quot;日&quot;;@"/>
    <numFmt numFmtId="180" formatCode="0_);[Red]\(0\)"/>
    <numFmt numFmtId="181" formatCode="\4&quot;感&quot;&quot;対&quot;&quot;第1411－&quot;0&quot;号&quot;\ "/>
    <numFmt numFmtId="182" formatCode="#,##0&quot;円&quot;\ "/>
    <numFmt numFmtId="183" formatCode="&quot;診&quot;&quot;検&quot;&quot;第&quot;0&quot;号&quot;"/>
    <numFmt numFmtId="184" formatCode="#,##0&quot;日&quot;"/>
    <numFmt numFmtId="185" formatCode="#,##0&quot;人&quot;"/>
    <numFmt numFmtId="186" formatCode="#,##0.00&quot;円&quot;"/>
    <numFmt numFmtId="187" formatCode="#,##0&quot;行&quot;&quot;目&quot;"/>
    <numFmt numFmtId="188" formatCode="#,##0.0&quot;枚&quot;"/>
    <numFmt numFmtId="189" formatCode="#,##0.0&quot;双&quot;"/>
    <numFmt numFmtId="190" formatCode="#,##0.0&quot;着&quot;"/>
    <numFmt numFmtId="191" formatCode="#,##0.0&quot;個&quot;"/>
    <numFmt numFmtId="192" formatCode="#,##0&quot;式&quot;"/>
    <numFmt numFmtId="193" formatCode="#,##0&quot;台&quot;"/>
    <numFmt numFmtId="194" formatCode="&quot;延&quot;&quot;べ&quot;#,##0&quot;人&quot;"/>
    <numFmt numFmtId="195" formatCode="#,##0&quot;円&quot;;[Red]\(#,##0\)&quot;円&quot;"/>
    <numFmt numFmtId="196" formatCode="\(#,##0&quot;円&quot;\)"/>
    <numFmt numFmtId="197" formatCode="0.0%"/>
    <numFmt numFmtId="198" formatCode="&quot;@&quot;#,##0&quot;円&quot;"/>
    <numFmt numFmtId="199" formatCode="&quot;¥&quot;#,##0&quot;円&quot;"/>
    <numFmt numFmtId="200" formatCode="#,##0_);[Red]\(#,##0\)"/>
    <numFmt numFmtId="201" formatCode="&quot;金&quot;#,##0&quot;円&quot;"/>
    <numFmt numFmtId="202" formatCode="&quot;金&quot;#,##0&quot;円&quot;;&quot;金&quot;&quot;△ &quot;#,##0&quot;円&quot;"/>
    <numFmt numFmtId="203" formatCode="&quot;入&quot;&quot;院&quot;&quot;第&quot;0&quot;号&quot;"/>
    <numFmt numFmtId="204" formatCode="yyyy&quot;年&quot;m&quot;月&quot;d&quot;日&quot;;@"/>
    <numFmt numFmtId="205" formatCode="0&quot;床&quot;"/>
  </numFmts>
  <fonts count="4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sz val="6"/>
      <name val="Yu Gothic"/>
      <family val="2"/>
      <charset val="128"/>
      <scheme val="minor"/>
    </font>
    <font>
      <sz val="12"/>
      <color theme="1"/>
      <name val="Yu Gothic"/>
      <family val="3"/>
      <charset val="128"/>
      <scheme val="minor"/>
    </font>
    <font>
      <b/>
      <sz val="14"/>
      <color theme="1"/>
      <name val="Yu Gothic"/>
      <family val="3"/>
      <charset val="128"/>
      <scheme val="minor"/>
    </font>
    <font>
      <b/>
      <sz val="18"/>
      <color theme="1"/>
      <name val="Yu Gothic"/>
      <family val="3"/>
      <charset val="128"/>
      <scheme val="minor"/>
    </font>
    <font>
      <b/>
      <sz val="13"/>
      <color theme="1"/>
      <name val="Yu Gothic"/>
      <family val="3"/>
      <charset val="128"/>
      <scheme val="minor"/>
    </font>
    <font>
      <sz val="14"/>
      <color theme="1"/>
      <name val="Yu Gothic"/>
      <family val="3"/>
      <charset val="128"/>
      <scheme val="minor"/>
    </font>
    <font>
      <sz val="10"/>
      <color theme="1"/>
      <name val="Yu Gothic"/>
      <family val="3"/>
      <charset val="128"/>
      <scheme val="minor"/>
    </font>
    <font>
      <b/>
      <sz val="10"/>
      <name val="Yu Gothic"/>
      <family val="3"/>
      <charset val="128"/>
      <scheme val="minor"/>
    </font>
    <font>
      <sz val="11"/>
      <color theme="1"/>
      <name val="Yu Gothic"/>
      <family val="3"/>
      <charset val="128"/>
      <scheme val="minor"/>
    </font>
    <font>
      <b/>
      <sz val="11"/>
      <name val="Yu Gothic"/>
      <family val="3"/>
      <charset val="128"/>
      <scheme val="minor"/>
    </font>
    <font>
      <b/>
      <u/>
      <sz val="12"/>
      <color rgb="FFFF0000"/>
      <name val="Yu Gothic"/>
      <family val="3"/>
      <charset val="128"/>
      <scheme val="minor"/>
    </font>
    <font>
      <u/>
      <sz val="11"/>
      <color theme="10"/>
      <name val="Yu Gothic"/>
      <family val="2"/>
      <charset val="128"/>
      <scheme val="minor"/>
    </font>
    <font>
      <b/>
      <sz val="10"/>
      <color rgb="FFFF0000"/>
      <name val="Yu Gothic"/>
      <family val="3"/>
      <charset val="128"/>
      <scheme val="minor"/>
    </font>
    <font>
      <sz val="10"/>
      <color rgb="FFFF0000"/>
      <name val="Yu Gothic"/>
      <family val="3"/>
      <charset val="128"/>
      <scheme val="minor"/>
    </font>
    <font>
      <b/>
      <sz val="9"/>
      <color theme="1"/>
      <name val="Yu Gothic"/>
      <family val="3"/>
      <charset val="128"/>
      <scheme val="minor"/>
    </font>
    <font>
      <sz val="9"/>
      <color theme="1"/>
      <name val="Yu Gothic"/>
      <family val="3"/>
      <charset val="128"/>
      <scheme val="minor"/>
    </font>
    <font>
      <b/>
      <sz val="8"/>
      <color theme="1"/>
      <name val="Yu Gothic"/>
      <family val="3"/>
      <charset val="128"/>
      <scheme val="minor"/>
    </font>
    <font>
      <sz val="8"/>
      <color theme="1"/>
      <name val="Yu Gothic"/>
      <family val="3"/>
      <charset val="128"/>
      <scheme val="minor"/>
    </font>
    <font>
      <b/>
      <u/>
      <sz val="11"/>
      <color theme="1"/>
      <name val="Yu Gothic"/>
      <family val="3"/>
      <charset val="128"/>
      <scheme val="minor"/>
    </font>
    <font>
      <b/>
      <sz val="6"/>
      <color theme="1"/>
      <name val="Yu Gothic"/>
      <family val="3"/>
      <charset val="128"/>
      <scheme val="minor"/>
    </font>
    <font>
      <b/>
      <sz val="12"/>
      <name val="Yu Gothic"/>
      <family val="3"/>
      <charset val="128"/>
      <scheme val="minor"/>
    </font>
    <font>
      <b/>
      <sz val="9"/>
      <color indexed="81"/>
      <name val="MS P ゴシック"/>
      <family val="3"/>
      <charset val="128"/>
    </font>
    <font>
      <b/>
      <u/>
      <sz val="11"/>
      <color rgb="FFFF0000"/>
      <name val="Yu Gothic"/>
      <family val="3"/>
      <charset val="128"/>
      <scheme val="minor"/>
    </font>
    <font>
      <b/>
      <sz val="10"/>
      <color rgb="FFFFFF00"/>
      <name val="Yu Gothic"/>
      <family val="3"/>
      <charset val="128"/>
      <scheme val="minor"/>
    </font>
    <font>
      <b/>
      <sz val="10"/>
      <color rgb="FF444444"/>
      <name val="Yu Gothic"/>
      <family val="3"/>
      <charset val="128"/>
      <scheme val="minor"/>
    </font>
    <font>
      <b/>
      <sz val="22"/>
      <color theme="1"/>
      <name val="Yu Gothic"/>
      <family val="3"/>
      <charset val="128"/>
      <scheme val="minor"/>
    </font>
    <font>
      <sz val="22"/>
      <color theme="1"/>
      <name val="Yu Gothic"/>
      <family val="3"/>
      <charset val="128"/>
      <scheme val="minor"/>
    </font>
    <font>
      <b/>
      <sz val="36"/>
      <color theme="1"/>
      <name val="Yu Gothic"/>
      <family val="3"/>
      <charset val="128"/>
      <scheme val="minor"/>
    </font>
    <font>
      <sz val="36"/>
      <color theme="1"/>
      <name val="Yu Gothic"/>
      <family val="3"/>
      <charset val="128"/>
      <scheme val="minor"/>
    </font>
    <font>
      <b/>
      <sz val="12"/>
      <color rgb="FFFF0000"/>
      <name val="Yu Gothic"/>
      <family val="3"/>
      <charset val="128"/>
      <scheme val="minor"/>
    </font>
    <font>
      <b/>
      <sz val="16"/>
      <color theme="1"/>
      <name val="Yu Gothic"/>
      <family val="3"/>
      <charset val="128"/>
      <scheme val="minor"/>
    </font>
    <font>
      <b/>
      <u/>
      <sz val="11"/>
      <color theme="10"/>
      <name val="Yu Gothic"/>
      <family val="3"/>
      <charset val="128"/>
      <scheme val="minor"/>
    </font>
    <font>
      <b/>
      <sz val="14"/>
      <name val="Yu Gothic"/>
      <family val="3"/>
      <charset val="128"/>
      <scheme val="minor"/>
    </font>
    <font>
      <sz val="6"/>
      <name val="ＭＳ Ｐゴシック"/>
      <family val="3"/>
      <charset val="128"/>
    </font>
    <font>
      <b/>
      <sz val="14"/>
      <color rgb="FFFF0000"/>
      <name val="Yu Gothic"/>
      <family val="3"/>
      <charset val="128"/>
      <scheme val="minor"/>
    </font>
    <font>
      <b/>
      <sz val="11"/>
      <color rgb="FFFF0000"/>
      <name val="Yu Gothic"/>
      <family val="3"/>
      <charset val="128"/>
      <scheme val="minor"/>
    </font>
    <font>
      <sz val="11"/>
      <name val="ＭＳ Ｐゴシック"/>
      <family val="3"/>
      <charset val="128"/>
    </font>
    <font>
      <sz val="11"/>
      <name val="Yu Gothic"/>
      <family val="3"/>
      <charset val="128"/>
      <scheme val="minor"/>
    </font>
    <font>
      <sz val="14"/>
      <name val="Yu Gothic"/>
      <family val="3"/>
      <charset val="128"/>
      <scheme val="minor"/>
    </font>
    <font>
      <sz val="10.5"/>
      <name val="Yu Gothic"/>
      <family val="3"/>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bgColor indexed="64"/>
      </patternFill>
    </fill>
    <fill>
      <patternFill patternType="solid">
        <fgColor rgb="FFFFFF00"/>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thin">
        <color indexed="64"/>
      </right>
      <top style="thin">
        <color indexed="64"/>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0" fontId="20" fillId="0" borderId="0" applyNumberForma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45" fillId="0" borderId="0">
      <alignment vertical="center"/>
    </xf>
  </cellStyleXfs>
  <cellXfs count="913">
    <xf numFmtId="0" fontId="0" fillId="0" borderId="0" xfId="0"/>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vertical="center" shrinkToFit="1"/>
    </xf>
    <xf numFmtId="0" fontId="10" fillId="0" borderId="0" xfId="0" applyFont="1" applyAlignment="1">
      <alignment vertical="center" shrinkToFit="1"/>
    </xf>
    <xf numFmtId="0" fontId="6" fillId="3" borderId="1" xfId="0" applyFont="1" applyFill="1" applyBorder="1" applyAlignment="1" applyProtection="1">
      <alignment horizontal="center" vertical="center" shrinkToFit="1"/>
    </xf>
    <xf numFmtId="176" fontId="18" fillId="0" borderId="1" xfId="0" applyNumberFormat="1" applyFont="1" applyBorder="1" applyAlignment="1" applyProtection="1">
      <alignment vertical="center" shrinkToFit="1"/>
    </xf>
    <xf numFmtId="0" fontId="6" fillId="0" borderId="1" xfId="0" applyFont="1" applyBorder="1" applyAlignment="1" applyProtection="1">
      <alignment horizontal="center" vertical="center" shrinkToFit="1"/>
    </xf>
    <xf numFmtId="0" fontId="18" fillId="2" borderId="1" xfId="0" applyFont="1" applyFill="1" applyBorder="1" applyAlignment="1" applyProtection="1">
      <alignment horizontal="center" vertical="center" shrinkToFit="1"/>
      <protection locked="0"/>
    </xf>
    <xf numFmtId="3" fontId="6" fillId="2" borderId="1" xfId="0" applyNumberFormat="1" applyFont="1" applyFill="1" applyBorder="1" applyAlignment="1" applyProtection="1">
      <alignment horizontal="center" vertical="center" shrinkToFit="1"/>
      <protection locked="0"/>
    </xf>
    <xf numFmtId="176" fontId="6" fillId="2" borderId="1" xfId="0" applyNumberFormat="1" applyFont="1" applyFill="1" applyBorder="1" applyAlignment="1" applyProtection="1">
      <alignment horizontal="right" vertical="center" shrinkToFit="1"/>
      <protection locked="0"/>
    </xf>
    <xf numFmtId="176" fontId="18" fillId="2" borderId="1"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left" vertical="center" shrinkToFit="1"/>
      <protection locked="0"/>
    </xf>
    <xf numFmtId="0" fontId="15" fillId="0" borderId="0" xfId="0" applyFont="1" applyAlignment="1">
      <alignment vertical="center" wrapText="1"/>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1" xfId="0" applyFont="1" applyBorder="1" applyAlignment="1" applyProtection="1">
      <alignment horizontal="center" vertical="center"/>
    </xf>
    <xf numFmtId="0" fontId="6" fillId="4" borderId="0" xfId="0" applyFont="1" applyFill="1" applyAlignment="1" applyProtection="1">
      <alignment vertical="center"/>
    </xf>
    <xf numFmtId="0" fontId="6" fillId="0" borderId="1" xfId="0" applyFont="1" applyBorder="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6" fillId="0" borderId="1" xfId="0" applyFont="1" applyBorder="1" applyAlignment="1" applyProtection="1">
      <alignment horizontal="center" vertical="center" wrapText="1"/>
    </xf>
    <xf numFmtId="0" fontId="6" fillId="0" borderId="0" xfId="0" applyFont="1" applyAlignment="1" applyProtection="1">
      <alignment horizontal="left" vertical="center"/>
    </xf>
    <xf numFmtId="176" fontId="6" fillId="0" borderId="1" xfId="0" applyNumberFormat="1" applyFont="1" applyFill="1" applyBorder="1" applyAlignment="1" applyProtection="1">
      <alignment horizontal="right" vertical="center" shrinkToFit="1"/>
    </xf>
    <xf numFmtId="177" fontId="6" fillId="2" borderId="1" xfId="0" applyNumberFormat="1" applyFont="1" applyFill="1" applyBorder="1" applyAlignment="1" applyProtection="1">
      <alignment horizontal="center" vertical="center" shrinkToFit="1"/>
      <protection locked="0"/>
    </xf>
    <xf numFmtId="178" fontId="8" fillId="2" borderId="18" xfId="0" applyNumberFormat="1" applyFont="1" applyFill="1" applyBorder="1" applyAlignment="1" applyProtection="1">
      <alignment horizontal="center" vertical="center" wrapText="1" shrinkToFit="1"/>
      <protection locked="0"/>
    </xf>
    <xf numFmtId="0" fontId="8" fillId="2" borderId="18" xfId="0" applyNumberFormat="1" applyFont="1" applyFill="1" applyBorder="1" applyAlignment="1" applyProtection="1">
      <alignment horizontal="center" vertical="center" wrapText="1"/>
      <protection locked="0"/>
    </xf>
    <xf numFmtId="0" fontId="7" fillId="0" borderId="0" xfId="0" applyFont="1" applyAlignment="1">
      <alignment horizontal="distributed" vertical="center"/>
    </xf>
    <xf numFmtId="0" fontId="0" fillId="0" borderId="0" xfId="0" applyAlignment="1">
      <alignment horizontal="distributed" vertical="center"/>
    </xf>
    <xf numFmtId="0" fontId="7" fillId="0" borderId="0" xfId="0" applyFont="1" applyAlignment="1">
      <alignment vertical="center" shrinkToFit="1"/>
    </xf>
    <xf numFmtId="0" fontId="0" fillId="0" borderId="0" xfId="0" applyAlignment="1">
      <alignment vertical="center" shrinkToFit="1"/>
    </xf>
    <xf numFmtId="0" fontId="13" fillId="0" borderId="0" xfId="0" applyFont="1" applyAlignment="1">
      <alignment horizontal="center" vertical="center" shrinkToFit="1"/>
    </xf>
    <xf numFmtId="0" fontId="7" fillId="0" borderId="0" xfId="0" applyFont="1" applyAlignment="1">
      <alignment vertical="center" wrapText="1"/>
    </xf>
    <xf numFmtId="0" fontId="6" fillId="0" borderId="0" xfId="0" applyFont="1" applyAlignment="1" applyProtection="1">
      <alignment vertical="center"/>
    </xf>
    <xf numFmtId="0" fontId="6" fillId="0" borderId="1" xfId="0" applyFont="1" applyBorder="1" applyAlignment="1" applyProtection="1">
      <alignment horizontal="center" vertical="center"/>
    </xf>
    <xf numFmtId="0" fontId="6" fillId="0" borderId="1" xfId="0" applyFont="1" applyBorder="1" applyAlignment="1" applyProtection="1">
      <alignment vertical="center"/>
    </xf>
    <xf numFmtId="0" fontId="6" fillId="0" borderId="0" xfId="3" applyFont="1" applyAlignment="1" applyProtection="1">
      <alignment horizontal="center" vertical="center"/>
    </xf>
    <xf numFmtId="0" fontId="6" fillId="0" borderId="0" xfId="3" applyFont="1" applyAlignment="1" applyProtection="1">
      <alignment horizontal="left" vertical="center" shrinkToFit="1"/>
    </xf>
    <xf numFmtId="0" fontId="6" fillId="0" borderId="0" xfId="3" applyFont="1" applyAlignment="1" applyProtection="1">
      <alignment vertical="center" wrapText="1"/>
    </xf>
    <xf numFmtId="0" fontId="6" fillId="0" borderId="0" xfId="3" applyFont="1" applyAlignment="1" applyProtection="1">
      <alignment horizontal="center" vertical="center" wrapText="1"/>
    </xf>
    <xf numFmtId="0" fontId="6" fillId="0" borderId="0" xfId="3" applyFont="1" applyProtection="1">
      <alignment vertical="center"/>
    </xf>
    <xf numFmtId="0" fontId="6" fillId="0" borderId="0" xfId="3" applyFont="1">
      <alignment vertical="center"/>
    </xf>
    <xf numFmtId="0" fontId="6" fillId="0" borderId="0" xfId="3" applyFont="1" applyAlignment="1">
      <alignment horizontal="right" vertical="center"/>
    </xf>
    <xf numFmtId="0" fontId="6" fillId="0" borderId="0" xfId="3" applyFont="1" applyAlignment="1">
      <alignment horizontal="center" vertical="center"/>
    </xf>
    <xf numFmtId="0" fontId="11" fillId="0" borderId="0" xfId="3" applyFont="1" applyAlignment="1" applyProtection="1">
      <alignment horizontal="left" vertical="center"/>
    </xf>
    <xf numFmtId="0" fontId="6" fillId="0" borderId="0" xfId="3" applyFont="1" applyAlignment="1" applyProtection="1">
      <alignment horizontal="left" vertical="center"/>
    </xf>
    <xf numFmtId="0" fontId="6" fillId="0" borderId="1" xfId="3" applyFont="1" applyBorder="1" applyAlignment="1" applyProtection="1">
      <alignment horizontal="center" vertical="center"/>
    </xf>
    <xf numFmtId="176" fontId="6" fillId="0" borderId="0" xfId="3" applyNumberFormat="1" applyFont="1" applyBorder="1" applyAlignment="1">
      <alignment horizontal="center" vertical="center" shrinkToFit="1"/>
    </xf>
    <xf numFmtId="0" fontId="6" fillId="0" borderId="0" xfId="3" applyFont="1" applyBorder="1" applyAlignment="1" applyProtection="1">
      <alignment horizontal="center" vertical="center"/>
    </xf>
    <xf numFmtId="176" fontId="6" fillId="0" borderId="0" xfId="3" applyNumberFormat="1" applyFont="1" applyBorder="1" applyAlignment="1" applyProtection="1">
      <alignment horizontal="center" vertical="center" shrinkToFit="1"/>
    </xf>
    <xf numFmtId="0" fontId="7" fillId="4" borderId="0" xfId="3" applyFont="1" applyFill="1" applyAlignment="1" applyProtection="1">
      <alignment horizontal="left" vertical="center"/>
    </xf>
    <xf numFmtId="0" fontId="6" fillId="4" borderId="0" xfId="3" applyFont="1" applyFill="1" applyAlignment="1" applyProtection="1">
      <alignment horizontal="left" vertical="center"/>
    </xf>
    <xf numFmtId="0" fontId="6" fillId="4" borderId="0" xfId="3" applyFont="1" applyFill="1" applyAlignment="1" applyProtection="1">
      <alignment vertical="center" wrapText="1"/>
    </xf>
    <xf numFmtId="0" fontId="6" fillId="4" borderId="0" xfId="3" applyFont="1" applyFill="1" applyAlignment="1" applyProtection="1">
      <alignment horizontal="center" vertical="center" wrapText="1"/>
    </xf>
    <xf numFmtId="0" fontId="6" fillId="4" borderId="0" xfId="3" applyFont="1" applyFill="1" applyBorder="1" applyAlignment="1" applyProtection="1">
      <alignment horizontal="center" vertical="center"/>
    </xf>
    <xf numFmtId="176" fontId="6" fillId="4" borderId="0" xfId="3" applyNumberFormat="1" applyFont="1" applyFill="1" applyBorder="1" applyAlignment="1" applyProtection="1">
      <alignment horizontal="center" vertical="center" shrinkToFit="1"/>
    </xf>
    <xf numFmtId="176" fontId="6" fillId="4" borderId="0" xfId="3" applyNumberFormat="1" applyFont="1" applyFill="1" applyBorder="1" applyAlignment="1">
      <alignment horizontal="center" vertical="center" shrinkToFit="1"/>
    </xf>
    <xf numFmtId="0" fontId="6" fillId="4" borderId="0" xfId="3" applyFont="1" applyFill="1" applyProtection="1">
      <alignment vertical="center"/>
    </xf>
    <xf numFmtId="0" fontId="6" fillId="0" borderId="1" xfId="3" applyFont="1" applyBorder="1" applyAlignment="1">
      <alignment vertical="center"/>
    </xf>
    <xf numFmtId="0" fontId="6" fillId="0" borderId="0" xfId="3" applyFont="1" applyBorder="1" applyAlignment="1">
      <alignment vertical="center"/>
    </xf>
    <xf numFmtId="0" fontId="6" fillId="0" borderId="0" xfId="3" applyFont="1" applyAlignment="1">
      <alignment vertical="center"/>
    </xf>
    <xf numFmtId="0" fontId="6" fillId="0" borderId="0" xfId="3" applyFont="1" applyBorder="1" applyAlignment="1">
      <alignment horizontal="center" vertical="center"/>
    </xf>
    <xf numFmtId="0" fontId="6" fillId="0" borderId="1" xfId="3" applyFont="1" applyBorder="1" applyAlignment="1" applyProtection="1">
      <alignment horizontal="center" vertical="center" wrapText="1"/>
    </xf>
    <xf numFmtId="0" fontId="6" fillId="0" borderId="0" xfId="3" applyFont="1" applyBorder="1" applyAlignment="1" applyProtection="1">
      <alignment horizontal="center" vertical="center" wrapText="1"/>
    </xf>
    <xf numFmtId="0" fontId="6" fillId="0" borderId="0" xfId="3" applyFont="1" applyBorder="1" applyAlignment="1">
      <alignment horizontal="center" vertical="center" wrapText="1"/>
    </xf>
    <xf numFmtId="0" fontId="6" fillId="0" borderId="1" xfId="3" applyFont="1" applyBorder="1" applyAlignment="1" applyProtection="1">
      <alignment vertical="center" wrapText="1"/>
    </xf>
    <xf numFmtId="185" fontId="6" fillId="0" borderId="1" xfId="3" applyNumberFormat="1" applyFont="1" applyBorder="1" applyAlignment="1" applyProtection="1">
      <alignment vertical="center" shrinkToFit="1"/>
    </xf>
    <xf numFmtId="0" fontId="6" fillId="0" borderId="0" xfId="3" applyFont="1" applyBorder="1" applyAlignment="1" applyProtection="1">
      <alignment vertical="center" wrapText="1"/>
    </xf>
    <xf numFmtId="0" fontId="6" fillId="0" borderId="5" xfId="3" applyFont="1" applyBorder="1" applyAlignment="1" applyProtection="1">
      <alignment horizontal="center" vertical="center"/>
    </xf>
    <xf numFmtId="0" fontId="6" fillId="0" borderId="5" xfId="3" applyFont="1" applyBorder="1" applyAlignment="1" applyProtection="1">
      <alignment vertical="center" wrapText="1"/>
    </xf>
    <xf numFmtId="185" fontId="6" fillId="0" borderId="0" xfId="3" applyNumberFormat="1" applyFont="1" applyBorder="1" applyAlignment="1" applyProtection="1">
      <alignment vertical="center" shrinkToFit="1"/>
    </xf>
    <xf numFmtId="0" fontId="6" fillId="0" borderId="0" xfId="3" applyFont="1" applyBorder="1" applyAlignment="1" applyProtection="1">
      <alignment horizontal="right" vertical="center" wrapText="1"/>
    </xf>
    <xf numFmtId="0" fontId="17" fillId="0" borderId="0" xfId="3" applyFont="1" applyBorder="1" applyAlignment="1">
      <alignment horizontal="right" vertical="center"/>
    </xf>
    <xf numFmtId="0" fontId="27" fillId="4" borderId="0" xfId="3" applyFont="1" applyFill="1" applyAlignment="1" applyProtection="1">
      <alignment horizontal="left" vertical="center"/>
    </xf>
    <xf numFmtId="0" fontId="6" fillId="4" borderId="0" xfId="3" applyFont="1" applyFill="1">
      <alignment vertical="center"/>
    </xf>
    <xf numFmtId="0" fontId="17" fillId="0" borderId="0" xfId="3" applyFont="1" applyAlignment="1">
      <alignment horizontal="left" vertical="center" wrapText="1"/>
    </xf>
    <xf numFmtId="0" fontId="6" fillId="5" borderId="1" xfId="3" applyFont="1" applyFill="1" applyBorder="1" applyAlignment="1" applyProtection="1">
      <alignment horizontal="center" vertical="center" shrinkToFit="1"/>
    </xf>
    <xf numFmtId="0" fontId="6" fillId="5" borderId="1" xfId="3" applyFont="1" applyFill="1" applyBorder="1" applyAlignment="1">
      <alignment horizontal="center" vertical="center"/>
    </xf>
    <xf numFmtId="0" fontId="6" fillId="5" borderId="1" xfId="3" applyFont="1" applyFill="1" applyBorder="1" applyAlignment="1" applyProtection="1">
      <alignment horizontal="center" vertical="center" wrapText="1"/>
    </xf>
    <xf numFmtId="0" fontId="6" fillId="0" borderId="15" xfId="3" applyFont="1" applyBorder="1" applyAlignment="1">
      <alignment horizontal="center" vertical="center"/>
    </xf>
    <xf numFmtId="0" fontId="6" fillId="0" borderId="1" xfId="3" applyFont="1" applyBorder="1" applyAlignment="1">
      <alignment horizontal="center" vertical="center"/>
    </xf>
    <xf numFmtId="176" fontId="6" fillId="0" borderId="1" xfId="3" applyNumberFormat="1" applyFont="1" applyFill="1" applyBorder="1" applyAlignment="1" applyProtection="1">
      <alignment horizontal="right" vertical="center" shrinkToFit="1"/>
    </xf>
    <xf numFmtId="176" fontId="18" fillId="0" borderId="1" xfId="3" applyNumberFormat="1" applyFont="1" applyBorder="1" applyAlignment="1" applyProtection="1">
      <alignment vertical="center" shrinkToFit="1"/>
    </xf>
    <xf numFmtId="0" fontId="6" fillId="0" borderId="1" xfId="3" applyFont="1" applyBorder="1" applyAlignment="1" applyProtection="1">
      <alignment horizontal="center" vertical="center" shrinkToFit="1"/>
    </xf>
    <xf numFmtId="187" fontId="6" fillId="0" borderId="1" xfId="3" applyNumberFormat="1" applyFont="1" applyBorder="1" applyAlignment="1">
      <alignment horizontal="center" vertical="center"/>
    </xf>
    <xf numFmtId="0" fontId="6" fillId="0" borderId="1" xfId="3" applyFont="1" applyBorder="1">
      <alignment vertical="center"/>
    </xf>
    <xf numFmtId="0" fontId="6" fillId="0" borderId="2" xfId="3" applyFont="1" applyBorder="1" applyAlignment="1">
      <alignment horizontal="center" vertical="center"/>
    </xf>
    <xf numFmtId="0" fontId="6" fillId="0" borderId="0" xfId="3" applyFont="1" applyFill="1" applyBorder="1">
      <alignment vertical="center"/>
    </xf>
    <xf numFmtId="0" fontId="6" fillId="0" borderId="1" xfId="3" applyFont="1" applyBorder="1" applyAlignment="1">
      <alignment horizontal="center" vertical="center" shrinkToFit="1"/>
    </xf>
    <xf numFmtId="178" fontId="6" fillId="0" borderId="1" xfId="3" applyNumberFormat="1" applyFont="1" applyBorder="1">
      <alignment vertical="center"/>
    </xf>
    <xf numFmtId="0" fontId="23" fillId="0" borderId="0" xfId="3" applyFont="1" applyBorder="1" applyAlignment="1" applyProtection="1">
      <alignment horizontal="left" vertical="center"/>
    </xf>
    <xf numFmtId="188" fontId="6" fillId="0" borderId="1" xfId="3" applyNumberFormat="1" applyFont="1" applyBorder="1">
      <alignment vertical="center"/>
    </xf>
    <xf numFmtId="189" fontId="6" fillId="0" borderId="1" xfId="3" applyNumberFormat="1" applyFont="1" applyBorder="1">
      <alignment vertical="center"/>
    </xf>
    <xf numFmtId="190" fontId="6" fillId="0" borderId="1" xfId="3" applyNumberFormat="1" applyFont="1" applyBorder="1">
      <alignment vertical="center"/>
    </xf>
    <xf numFmtId="191" fontId="6" fillId="0" borderId="1" xfId="3" applyNumberFormat="1" applyFont="1" applyBorder="1">
      <alignment vertical="center"/>
    </xf>
    <xf numFmtId="184" fontId="6" fillId="2" borderId="1" xfId="3" applyNumberFormat="1" applyFont="1" applyFill="1" applyBorder="1" applyAlignment="1" applyProtection="1">
      <alignment vertical="center" shrinkToFit="1"/>
      <protection locked="0"/>
    </xf>
    <xf numFmtId="185" fontId="6" fillId="2" borderId="1" xfId="3" applyNumberFormat="1" applyFont="1" applyFill="1" applyBorder="1" applyAlignment="1" applyProtection="1">
      <alignment vertical="center" shrinkToFit="1"/>
      <protection locked="0"/>
    </xf>
    <xf numFmtId="0" fontId="18" fillId="2" borderId="1" xfId="3" applyFont="1" applyFill="1" applyBorder="1" applyAlignment="1" applyProtection="1">
      <alignment horizontal="left" vertical="center" shrinkToFit="1"/>
      <protection locked="0"/>
    </xf>
    <xf numFmtId="3" fontId="6" fillId="2" borderId="1" xfId="3" applyNumberFormat="1" applyFont="1" applyFill="1" applyBorder="1" applyAlignment="1" applyProtection="1">
      <alignment horizontal="center" vertical="center" shrinkToFit="1"/>
      <protection locked="0"/>
    </xf>
    <xf numFmtId="176" fontId="6" fillId="2" borderId="1" xfId="3" applyNumberFormat="1" applyFont="1" applyFill="1" applyBorder="1" applyAlignment="1" applyProtection="1">
      <alignment horizontal="right" vertical="center" shrinkToFit="1"/>
      <protection locked="0"/>
    </xf>
    <xf numFmtId="0" fontId="28" fillId="0" borderId="1" xfId="0" applyFont="1" applyBorder="1" applyAlignment="1" applyProtection="1">
      <alignment vertical="center"/>
    </xf>
    <xf numFmtId="0" fontId="28" fillId="0" borderId="1" xfId="0" applyFont="1" applyBorder="1" applyAlignment="1" applyProtection="1">
      <alignment horizontal="center" vertical="center"/>
    </xf>
    <xf numFmtId="0" fontId="28" fillId="0" borderId="1" xfId="0" applyFont="1" applyBorder="1" applyAlignment="1" applyProtection="1">
      <alignment vertical="center" wrapText="1"/>
    </xf>
    <xf numFmtId="0" fontId="6" fillId="0" borderId="1" xfId="0" applyFont="1" applyBorder="1" applyAlignment="1" applyProtection="1">
      <alignment horizontal="center" vertical="center"/>
    </xf>
    <xf numFmtId="0" fontId="6" fillId="0" borderId="1" xfId="0" applyFont="1" applyBorder="1" applyAlignment="1" applyProtection="1">
      <alignment vertical="center"/>
    </xf>
    <xf numFmtId="0" fontId="6" fillId="0" borderId="0" xfId="0" applyFont="1" applyAlignment="1" applyProtection="1">
      <alignment vertical="center" wrapText="1"/>
    </xf>
    <xf numFmtId="0" fontId="6" fillId="0" borderId="0" xfId="0" applyFont="1" applyAlignment="1" applyProtection="1">
      <alignment vertical="center"/>
    </xf>
    <xf numFmtId="0" fontId="28" fillId="0" borderId="0" xfId="0" applyFont="1"/>
    <xf numFmtId="0" fontId="28" fillId="0" borderId="0" xfId="0" applyFont="1" applyAlignment="1">
      <alignment horizontal="center" vertical="center" shrinkToFit="1"/>
    </xf>
    <xf numFmtId="0" fontId="28" fillId="0" borderId="0" xfId="0" applyFont="1" applyAlignment="1">
      <alignment vertical="center"/>
    </xf>
    <xf numFmtId="0" fontId="28" fillId="0" borderId="0" xfId="0" applyFont="1" applyAlignment="1">
      <alignment vertical="center" wrapText="1"/>
    </xf>
    <xf numFmtId="0" fontId="28" fillId="0" borderId="1" xfId="0" applyFont="1" applyBorder="1" applyAlignment="1">
      <alignment vertical="center" wrapText="1"/>
    </xf>
    <xf numFmtId="0" fontId="28" fillId="0" borderId="0" xfId="0" applyFont="1" applyAlignment="1">
      <alignment horizontal="center" vertical="center"/>
    </xf>
    <xf numFmtId="0" fontId="28" fillId="0" borderId="0" xfId="0" applyFont="1" applyBorder="1" applyAlignment="1">
      <alignment vertical="center" wrapText="1"/>
    </xf>
    <xf numFmtId="0" fontId="28" fillId="0" borderId="0" xfId="0" applyFont="1" applyBorder="1" applyAlignment="1">
      <alignment horizontal="left" vertical="center" wrapText="1" shrinkToFit="1"/>
    </xf>
    <xf numFmtId="0" fontId="28" fillId="0" borderId="0" xfId="0" applyFont="1" applyAlignment="1">
      <alignment horizontal="distributed" vertical="center" shrinkToFit="1"/>
    </xf>
    <xf numFmtId="0" fontId="28" fillId="0" borderId="1" xfId="0" applyFont="1" applyBorder="1" applyAlignment="1">
      <alignment horizontal="distributed" vertical="center"/>
    </xf>
    <xf numFmtId="0" fontId="28" fillId="0" borderId="1" xfId="0" applyFont="1" applyBorder="1" applyAlignment="1">
      <alignment horizontal="center" vertical="center" wrapText="1"/>
    </xf>
    <xf numFmtId="14" fontId="28" fillId="0" borderId="1" xfId="0" applyNumberFormat="1" applyFont="1" applyBorder="1" applyAlignment="1">
      <alignment horizontal="distributed" vertical="center"/>
    </xf>
    <xf numFmtId="0" fontId="28" fillId="0" borderId="1" xfId="0" applyNumberFormat="1" applyFont="1" applyBorder="1" applyAlignment="1">
      <alignment horizontal="center" vertical="center" wrapText="1"/>
    </xf>
    <xf numFmtId="0" fontId="28" fillId="2" borderId="2" xfId="0" applyFont="1" applyFill="1" applyBorder="1" applyAlignment="1">
      <alignment horizontal="center" vertical="center" shrinkToFit="1"/>
    </xf>
    <xf numFmtId="0" fontId="28" fillId="0" borderId="1" xfId="0" applyFont="1" applyBorder="1" applyAlignment="1">
      <alignment horizontal="distributed" vertical="center" shrinkToFit="1"/>
    </xf>
    <xf numFmtId="0" fontId="28" fillId="0" borderId="1" xfId="0" applyFont="1" applyBorder="1" applyAlignment="1">
      <alignment horizontal="center" vertical="center"/>
    </xf>
    <xf numFmtId="14" fontId="28" fillId="0" borderId="1" xfId="0" applyNumberFormat="1" applyFont="1" applyBorder="1" applyAlignment="1">
      <alignment horizontal="center" vertical="center"/>
    </xf>
    <xf numFmtId="0" fontId="11" fillId="0" borderId="0" xfId="4" applyFont="1" applyProtection="1">
      <alignment vertical="center"/>
    </xf>
    <xf numFmtId="0" fontId="7" fillId="0" borderId="0" xfId="4" applyFont="1" applyProtection="1">
      <alignment vertical="center"/>
    </xf>
    <xf numFmtId="0" fontId="7" fillId="0" borderId="0" xfId="4" applyFont="1" applyAlignment="1" applyProtection="1">
      <alignment horizontal="center" vertical="center"/>
    </xf>
    <xf numFmtId="0" fontId="7" fillId="0" borderId="0" xfId="4" applyFont="1" applyBorder="1" applyAlignment="1" applyProtection="1">
      <alignment horizontal="center" vertical="center"/>
    </xf>
    <xf numFmtId="0" fontId="7" fillId="0" borderId="0" xfId="4" applyFont="1" applyBorder="1" applyProtection="1">
      <alignment vertical="center"/>
    </xf>
    <xf numFmtId="0" fontId="7" fillId="0" borderId="0" xfId="4" applyFont="1" applyAlignment="1" applyProtection="1">
      <alignment horizontal="left" vertical="center"/>
    </xf>
    <xf numFmtId="0" fontId="7" fillId="0" borderId="0" xfId="4" applyFont="1" applyAlignment="1" applyProtection="1">
      <alignment vertical="center" shrinkToFit="1"/>
    </xf>
    <xf numFmtId="3" fontId="7" fillId="0" borderId="0" xfId="4" applyNumberFormat="1" applyFont="1" applyBorder="1" applyAlignment="1" applyProtection="1">
      <alignment vertical="center" shrinkToFit="1"/>
    </xf>
    <xf numFmtId="3" fontId="7" fillId="0" borderId="0" xfId="4" applyNumberFormat="1" applyFont="1" applyBorder="1" applyProtection="1">
      <alignment vertical="center"/>
    </xf>
    <xf numFmtId="0" fontId="29" fillId="6" borderId="1" xfId="4" applyFont="1" applyFill="1" applyBorder="1" applyAlignment="1" applyProtection="1">
      <alignment horizontal="center" vertical="center"/>
    </xf>
    <xf numFmtId="3" fontId="7" fillId="0" borderId="0" xfId="4" applyNumberFormat="1" applyFont="1" applyAlignment="1" applyProtection="1">
      <alignment vertical="center" shrinkToFit="1"/>
    </xf>
    <xf numFmtId="3" fontId="7" fillId="0" borderId="0" xfId="4" applyNumberFormat="1" applyFont="1" applyProtection="1">
      <alignment vertical="center"/>
    </xf>
    <xf numFmtId="0" fontId="7" fillId="0" borderId="20" xfId="4" applyFont="1" applyBorder="1" applyAlignment="1" applyProtection="1">
      <alignment horizontal="center" vertical="center"/>
    </xf>
    <xf numFmtId="0" fontId="7" fillId="0" borderId="20" xfId="4" applyFont="1" applyBorder="1" applyAlignment="1" applyProtection="1">
      <alignment horizontal="right" vertical="center"/>
    </xf>
    <xf numFmtId="0" fontId="7" fillId="0" borderId="20" xfId="4" applyFont="1" applyBorder="1" applyAlignment="1" applyProtection="1">
      <alignment horizontal="right" vertical="center" wrapText="1"/>
    </xf>
    <xf numFmtId="0" fontId="7" fillId="0" borderId="1" xfId="4" applyFont="1" applyBorder="1" applyAlignment="1" applyProtection="1">
      <alignment horizontal="center" vertical="center"/>
    </xf>
    <xf numFmtId="0" fontId="7" fillId="0" borderId="1" xfId="4" applyFont="1" applyBorder="1" applyProtection="1">
      <alignment vertical="center"/>
    </xf>
    <xf numFmtId="0" fontId="7" fillId="0" borderId="20" xfId="4" applyFont="1" applyBorder="1" applyAlignment="1" applyProtection="1">
      <alignment horizontal="left" vertical="center"/>
    </xf>
    <xf numFmtId="0" fontId="7" fillId="0" borderId="22" xfId="4" applyFont="1" applyBorder="1" applyAlignment="1" applyProtection="1">
      <alignment horizontal="center" vertical="center" wrapText="1"/>
    </xf>
    <xf numFmtId="0" fontId="7" fillId="0" borderId="23" xfId="4" applyFont="1" applyFill="1" applyBorder="1" applyAlignment="1" applyProtection="1">
      <alignment horizontal="center" vertical="center" shrinkToFit="1"/>
    </xf>
    <xf numFmtId="192" fontId="7" fillId="0" borderId="23" xfId="4" applyNumberFormat="1" applyFont="1" applyFill="1" applyBorder="1" applyAlignment="1" applyProtection="1">
      <alignment vertical="top" wrapText="1"/>
    </xf>
    <xf numFmtId="176" fontId="7" fillId="0" borderId="23" xfId="4" applyNumberFormat="1" applyFont="1" applyBorder="1" applyAlignment="1" applyProtection="1">
      <alignment vertical="top" shrinkToFit="1"/>
    </xf>
    <xf numFmtId="0" fontId="7" fillId="0" borderId="22" xfId="4" applyFont="1" applyBorder="1" applyAlignment="1" applyProtection="1">
      <alignment horizontal="center" vertical="center" shrinkToFit="1"/>
    </xf>
    <xf numFmtId="176" fontId="7" fillId="0" borderId="23" xfId="4" applyNumberFormat="1" applyFont="1" applyFill="1" applyBorder="1" applyAlignment="1" applyProtection="1">
      <alignment vertical="top" shrinkToFit="1"/>
    </xf>
    <xf numFmtId="176" fontId="7" fillId="0" borderId="24" xfId="4" applyNumberFormat="1" applyFont="1" applyBorder="1" applyAlignment="1" applyProtection="1">
      <alignment horizontal="center" vertical="center" shrinkToFit="1"/>
    </xf>
    <xf numFmtId="3" fontId="7" fillId="7" borderId="25" xfId="4" applyNumberFormat="1" applyFont="1" applyFill="1" applyBorder="1" applyAlignment="1" applyProtection="1">
      <alignment horizontal="center" vertical="center" shrinkToFit="1"/>
      <protection locked="0"/>
    </xf>
    <xf numFmtId="176" fontId="7" fillId="0" borderId="25" xfId="4" applyNumberFormat="1" applyFont="1" applyBorder="1" applyAlignment="1" applyProtection="1">
      <alignment horizontal="center" vertical="center" shrinkToFit="1"/>
    </xf>
    <xf numFmtId="176" fontId="7" fillId="0" borderId="26" xfId="4" applyNumberFormat="1" applyFont="1" applyBorder="1" applyAlignment="1" applyProtection="1">
      <alignment horizontal="center" vertical="center" shrinkToFit="1"/>
    </xf>
    <xf numFmtId="0" fontId="7" fillId="0" borderId="1" xfId="4" applyNumberFormat="1" applyFont="1" applyBorder="1" applyAlignment="1" applyProtection="1">
      <alignment horizontal="center" vertical="center" shrinkToFit="1"/>
    </xf>
    <xf numFmtId="14" fontId="7" fillId="0" borderId="1" xfId="4" applyNumberFormat="1" applyFont="1" applyBorder="1" applyAlignment="1" applyProtection="1">
      <alignment horizontal="center" vertical="center" shrinkToFit="1"/>
    </xf>
    <xf numFmtId="0" fontId="7" fillId="0" borderId="1" xfId="4" applyNumberFormat="1" applyFont="1" applyBorder="1" applyAlignment="1" applyProtection="1">
      <alignment vertical="center" shrinkToFit="1"/>
    </xf>
    <xf numFmtId="14" fontId="7" fillId="0" borderId="0" xfId="4" applyNumberFormat="1" applyFont="1" applyBorder="1" applyProtection="1">
      <alignment vertical="center"/>
    </xf>
    <xf numFmtId="0" fontId="7" fillId="0" borderId="27" xfId="4" applyFont="1" applyBorder="1" applyAlignment="1" applyProtection="1">
      <alignment horizontal="left" vertical="center" wrapText="1"/>
    </xf>
    <xf numFmtId="14" fontId="11" fillId="0" borderId="2" xfId="4" applyNumberFormat="1" applyFont="1" applyBorder="1" applyAlignment="1" applyProtection="1">
      <alignment horizontal="center" vertical="center" shrinkToFit="1"/>
    </xf>
    <xf numFmtId="0" fontId="11" fillId="0" borderId="1" xfId="4" applyFont="1" applyBorder="1" applyProtection="1">
      <alignment vertical="center"/>
    </xf>
    <xf numFmtId="3" fontId="11" fillId="0" borderId="1" xfId="4" applyNumberFormat="1" applyFont="1" applyBorder="1" applyProtection="1">
      <alignment vertical="center"/>
    </xf>
    <xf numFmtId="0" fontId="7" fillId="0" borderId="6" xfId="4" applyFont="1" applyFill="1" applyBorder="1" applyAlignment="1" applyProtection="1">
      <alignment horizontal="center" vertical="center" shrinkToFit="1"/>
    </xf>
    <xf numFmtId="193" fontId="7" fillId="0" borderId="27" xfId="4" applyNumberFormat="1" applyFont="1" applyFill="1" applyBorder="1" applyAlignment="1" applyProtection="1">
      <alignment vertical="top" wrapText="1"/>
    </xf>
    <xf numFmtId="176" fontId="7" fillId="0" borderId="27" xfId="4" applyNumberFormat="1" applyFont="1" applyBorder="1" applyAlignment="1" applyProtection="1">
      <alignment vertical="top" shrinkToFit="1"/>
    </xf>
    <xf numFmtId="0" fontId="7" fillId="0" borderId="27" xfId="4" applyFont="1" applyBorder="1" applyAlignment="1" applyProtection="1">
      <alignment horizontal="center" vertical="center" shrinkToFit="1"/>
    </xf>
    <xf numFmtId="176" fontId="7" fillId="0" borderId="27" xfId="4" applyNumberFormat="1" applyFont="1" applyFill="1" applyBorder="1" applyAlignment="1" applyProtection="1">
      <alignment vertical="top" shrinkToFit="1"/>
    </xf>
    <xf numFmtId="176" fontId="7" fillId="0" borderId="29" xfId="4" applyNumberFormat="1" applyFont="1" applyBorder="1" applyAlignment="1" applyProtection="1">
      <alignment horizontal="center" vertical="center" shrinkToFit="1"/>
    </xf>
    <xf numFmtId="3" fontId="7" fillId="7" borderId="30" xfId="4" applyNumberFormat="1" applyFont="1" applyFill="1" applyBorder="1" applyAlignment="1" applyProtection="1">
      <alignment horizontal="center" vertical="center" shrinkToFit="1"/>
      <protection locked="0"/>
    </xf>
    <xf numFmtId="176" fontId="7" fillId="0" borderId="30" xfId="4" applyNumberFormat="1" applyFont="1" applyBorder="1" applyAlignment="1" applyProtection="1">
      <alignment horizontal="center" vertical="center" shrinkToFit="1"/>
    </xf>
    <xf numFmtId="176" fontId="7" fillId="0" borderId="31" xfId="4" applyNumberFormat="1" applyFont="1" applyBorder="1" applyAlignment="1" applyProtection="1">
      <alignment horizontal="center" vertical="center" shrinkToFit="1"/>
    </xf>
    <xf numFmtId="194" fontId="7" fillId="0" borderId="6" xfId="4" applyNumberFormat="1" applyFont="1" applyFill="1" applyBorder="1" applyAlignment="1" applyProtection="1">
      <alignment horizontal="right" vertical="top" wrapText="1" shrinkToFit="1"/>
    </xf>
    <xf numFmtId="176" fontId="7" fillId="0" borderId="6" xfId="4" applyNumberFormat="1" applyFont="1" applyBorder="1" applyAlignment="1" applyProtection="1">
      <alignment vertical="top" shrinkToFit="1"/>
    </xf>
    <xf numFmtId="176" fontId="7" fillId="0" borderId="17" xfId="4" applyNumberFormat="1" applyFont="1" applyBorder="1" applyAlignment="1" applyProtection="1">
      <alignment horizontal="center" vertical="center" shrinkToFit="1"/>
    </xf>
    <xf numFmtId="3" fontId="7" fillId="7" borderId="18" xfId="4" applyNumberFormat="1" applyFont="1" applyFill="1" applyBorder="1" applyAlignment="1" applyProtection="1">
      <alignment horizontal="center" vertical="center" shrinkToFit="1"/>
      <protection locked="0"/>
    </xf>
    <xf numFmtId="176" fontId="7" fillId="0" borderId="18" xfId="4" applyNumberFormat="1" applyFont="1" applyBorder="1" applyAlignment="1" applyProtection="1">
      <alignment horizontal="center" vertical="center" shrinkToFit="1"/>
    </xf>
    <xf numFmtId="176" fontId="7" fillId="0" borderId="32" xfId="4" applyNumberFormat="1" applyFont="1" applyBorder="1" applyAlignment="1" applyProtection="1">
      <alignment horizontal="center" vertical="center" shrinkToFit="1"/>
    </xf>
    <xf numFmtId="0" fontId="7" fillId="0" borderId="0" xfId="4" applyFont="1" applyFill="1" applyBorder="1" applyAlignment="1" applyProtection="1">
      <alignment horizontal="center" vertical="center"/>
    </xf>
    <xf numFmtId="0" fontId="7" fillId="0" borderId="1" xfId="4" applyFont="1" applyBorder="1" applyAlignment="1" applyProtection="1">
      <alignment horizontal="center" vertical="center" wrapText="1"/>
    </xf>
    <xf numFmtId="193" fontId="7" fillId="0" borderId="1" xfId="4" applyNumberFormat="1" applyFont="1" applyBorder="1" applyAlignment="1" applyProtection="1">
      <alignment vertical="top" wrapText="1"/>
    </xf>
    <xf numFmtId="176" fontId="7" fillId="0" borderId="1" xfId="4" applyNumberFormat="1" applyFont="1" applyBorder="1" applyAlignment="1" applyProtection="1">
      <alignment vertical="top" shrinkToFit="1"/>
    </xf>
    <xf numFmtId="0" fontId="7" fillId="0" borderId="1" xfId="4" applyFont="1" applyBorder="1" applyAlignment="1" applyProtection="1">
      <alignment horizontal="center" vertical="center" shrinkToFit="1"/>
    </xf>
    <xf numFmtId="193" fontId="7" fillId="0" borderId="1" xfId="4" applyNumberFormat="1" applyFont="1" applyFill="1" applyBorder="1" applyAlignment="1" applyProtection="1">
      <alignment vertical="top" wrapText="1"/>
    </xf>
    <xf numFmtId="176" fontId="7" fillId="0" borderId="33" xfId="4" applyNumberFormat="1" applyFont="1" applyBorder="1" applyAlignment="1" applyProtection="1">
      <alignment horizontal="center" vertical="center" shrinkToFit="1"/>
    </xf>
    <xf numFmtId="3" fontId="7" fillId="7" borderId="34" xfId="4" applyNumberFormat="1" applyFont="1" applyFill="1" applyBorder="1" applyAlignment="1" applyProtection="1">
      <alignment horizontal="center" vertical="center" shrinkToFit="1"/>
      <protection locked="0"/>
    </xf>
    <xf numFmtId="176" fontId="7" fillId="0" borderId="34" xfId="4" applyNumberFormat="1" applyFont="1" applyBorder="1" applyAlignment="1" applyProtection="1">
      <alignment horizontal="center" vertical="center" shrinkToFit="1"/>
    </xf>
    <xf numFmtId="176" fontId="7" fillId="0" borderId="35" xfId="4" applyNumberFormat="1" applyFont="1" applyBorder="1" applyAlignment="1" applyProtection="1">
      <alignment horizontal="center" vertical="center" shrinkToFit="1"/>
    </xf>
    <xf numFmtId="193" fontId="7" fillId="0" borderId="36" xfId="4" applyNumberFormat="1" applyFont="1" applyFill="1" applyBorder="1" applyAlignment="1" applyProtection="1">
      <alignment vertical="top" wrapText="1"/>
    </xf>
    <xf numFmtId="176" fontId="7" fillId="0" borderId="36" xfId="4" applyNumberFormat="1" applyFont="1" applyBorder="1" applyAlignment="1" applyProtection="1">
      <alignment vertical="top" shrinkToFit="1"/>
    </xf>
    <xf numFmtId="0" fontId="7" fillId="0" borderId="36" xfId="4" applyFont="1" applyBorder="1" applyAlignment="1" applyProtection="1">
      <alignment horizontal="center" vertical="center" shrinkToFit="1"/>
    </xf>
    <xf numFmtId="176" fontId="7" fillId="0" borderId="37" xfId="4" applyNumberFormat="1" applyFont="1" applyBorder="1" applyAlignment="1" applyProtection="1">
      <alignment horizontal="center" vertical="center" shrinkToFit="1"/>
    </xf>
    <xf numFmtId="3" fontId="7" fillId="7" borderId="38" xfId="4" applyNumberFormat="1" applyFont="1" applyFill="1" applyBorder="1" applyAlignment="1" applyProtection="1">
      <alignment horizontal="center" vertical="center" shrinkToFit="1"/>
      <protection locked="0"/>
    </xf>
    <xf numFmtId="176" fontId="7" fillId="0" borderId="38" xfId="4" applyNumberFormat="1" applyFont="1" applyBorder="1" applyAlignment="1" applyProtection="1">
      <alignment horizontal="center" vertical="center" shrinkToFit="1"/>
    </xf>
    <xf numFmtId="176" fontId="7" fillId="0" borderId="39" xfId="4" applyNumberFormat="1" applyFont="1" applyBorder="1" applyAlignment="1" applyProtection="1">
      <alignment horizontal="center" vertical="center" shrinkToFit="1"/>
    </xf>
    <xf numFmtId="193" fontId="7" fillId="0" borderId="40" xfId="4" applyNumberFormat="1" applyFont="1" applyFill="1" applyBorder="1" applyAlignment="1" applyProtection="1">
      <alignment vertical="top" wrapText="1"/>
    </xf>
    <xf numFmtId="176" fontId="7" fillId="0" borderId="40" xfId="4" applyNumberFormat="1" applyFont="1" applyBorder="1" applyAlignment="1" applyProtection="1">
      <alignment vertical="top" shrinkToFit="1"/>
    </xf>
    <xf numFmtId="0" fontId="7" fillId="0" borderId="40" xfId="4" applyFont="1" applyBorder="1" applyAlignment="1" applyProtection="1">
      <alignment horizontal="center" vertical="center" shrinkToFit="1"/>
    </xf>
    <xf numFmtId="176" fontId="7" fillId="0" borderId="41" xfId="4" applyNumberFormat="1" applyFont="1" applyBorder="1" applyAlignment="1" applyProtection="1">
      <alignment horizontal="center" vertical="center" shrinkToFit="1"/>
    </xf>
    <xf numFmtId="3" fontId="7" fillId="7" borderId="42" xfId="4" applyNumberFormat="1" applyFont="1" applyFill="1" applyBorder="1" applyAlignment="1" applyProtection="1">
      <alignment horizontal="center" vertical="center" shrinkToFit="1"/>
      <protection locked="0"/>
    </xf>
    <xf numFmtId="176" fontId="7" fillId="0" borderId="42" xfId="4" applyNumberFormat="1" applyFont="1" applyBorder="1" applyAlignment="1" applyProtection="1">
      <alignment horizontal="center" vertical="center" shrinkToFit="1"/>
    </xf>
    <xf numFmtId="176" fontId="7" fillId="0" borderId="43" xfId="4" applyNumberFormat="1" applyFont="1" applyBorder="1" applyAlignment="1" applyProtection="1">
      <alignment horizontal="center" vertical="center" shrinkToFit="1"/>
    </xf>
    <xf numFmtId="193" fontId="7" fillId="0" borderId="6" xfId="4" applyNumberFormat="1" applyFont="1" applyBorder="1" applyAlignment="1" applyProtection="1">
      <alignment vertical="top" wrapText="1"/>
    </xf>
    <xf numFmtId="0" fontId="7" fillId="0" borderId="6" xfId="4" applyFont="1" applyBorder="1" applyAlignment="1" applyProtection="1">
      <alignment horizontal="center" vertical="center" shrinkToFit="1"/>
    </xf>
    <xf numFmtId="193" fontId="7" fillId="0" borderId="36" xfId="4" applyNumberFormat="1" applyFont="1" applyBorder="1" applyAlignment="1" applyProtection="1">
      <alignment vertical="top" wrapText="1"/>
    </xf>
    <xf numFmtId="176" fontId="7" fillId="0" borderId="44" xfId="4" applyNumberFormat="1" applyFont="1" applyBorder="1" applyAlignment="1" applyProtection="1">
      <alignment vertical="top" shrinkToFit="1"/>
    </xf>
    <xf numFmtId="193" fontId="7" fillId="0" borderId="40" xfId="4" applyNumberFormat="1" applyFont="1" applyBorder="1" applyAlignment="1" applyProtection="1">
      <alignment vertical="top" wrapText="1"/>
    </xf>
    <xf numFmtId="176" fontId="7" fillId="0" borderId="45" xfId="4" applyNumberFormat="1" applyFont="1" applyBorder="1" applyAlignment="1" applyProtection="1">
      <alignment vertical="top" shrinkToFit="1"/>
    </xf>
    <xf numFmtId="0" fontId="7" fillId="0" borderId="45" xfId="4" applyFont="1" applyBorder="1" applyAlignment="1" applyProtection="1">
      <alignment horizontal="center" vertical="center" shrinkToFit="1"/>
    </xf>
    <xf numFmtId="176" fontId="7" fillId="0" borderId="46" xfId="4" applyNumberFormat="1" applyFont="1" applyBorder="1" applyAlignment="1" applyProtection="1">
      <alignment horizontal="center" vertical="center" shrinkToFit="1"/>
    </xf>
    <xf numFmtId="3" fontId="7" fillId="7" borderId="47" xfId="4" applyNumberFormat="1" applyFont="1" applyFill="1" applyBorder="1" applyAlignment="1" applyProtection="1">
      <alignment horizontal="center" vertical="center" shrinkToFit="1"/>
      <protection locked="0"/>
    </xf>
    <xf numFmtId="176" fontId="7" fillId="0" borderId="47" xfId="4" applyNumberFormat="1" applyFont="1" applyBorder="1" applyAlignment="1" applyProtection="1">
      <alignment horizontal="center" vertical="center" shrinkToFit="1"/>
    </xf>
    <xf numFmtId="176" fontId="7" fillId="0" borderId="48" xfId="4" applyNumberFormat="1" applyFont="1" applyBorder="1" applyAlignment="1" applyProtection="1">
      <alignment horizontal="center" vertical="center" shrinkToFit="1"/>
    </xf>
    <xf numFmtId="192" fontId="7" fillId="0" borderId="1" xfId="4" applyNumberFormat="1" applyFont="1" applyFill="1" applyBorder="1" applyAlignment="1" applyProtection="1">
      <alignment vertical="top" wrapText="1"/>
    </xf>
    <xf numFmtId="176" fontId="7" fillId="0" borderId="40" xfId="4" applyNumberFormat="1" applyFont="1" applyFill="1" applyBorder="1" applyAlignment="1" applyProtection="1">
      <alignment vertical="top" shrinkToFit="1"/>
    </xf>
    <xf numFmtId="193" fontId="7" fillId="0" borderId="54" xfId="4" applyNumberFormat="1" applyFont="1" applyFill="1" applyBorder="1" applyAlignment="1" applyProtection="1">
      <alignment vertical="top" wrapText="1"/>
    </xf>
    <xf numFmtId="176" fontId="7" fillId="0" borderId="54" xfId="4" applyNumberFormat="1" applyFont="1" applyBorder="1" applyAlignment="1" applyProtection="1">
      <alignment vertical="top" shrinkToFit="1"/>
    </xf>
    <xf numFmtId="0" fontId="7" fillId="0" borderId="54" xfId="4" applyFont="1" applyBorder="1" applyAlignment="1" applyProtection="1">
      <alignment horizontal="center" vertical="center" shrinkToFit="1"/>
    </xf>
    <xf numFmtId="176" fontId="7" fillId="0" borderId="55" xfId="4" applyNumberFormat="1" applyFont="1" applyBorder="1" applyAlignment="1" applyProtection="1">
      <alignment horizontal="center" vertical="center" shrinkToFit="1"/>
    </xf>
    <xf numFmtId="3" fontId="7" fillId="7" borderId="56" xfId="4" applyNumberFormat="1" applyFont="1" applyFill="1" applyBorder="1" applyAlignment="1" applyProtection="1">
      <alignment horizontal="center" vertical="center" shrinkToFit="1"/>
      <protection locked="0"/>
    </xf>
    <xf numFmtId="176" fontId="7" fillId="0" borderId="56" xfId="4" applyNumberFormat="1" applyFont="1" applyBorder="1" applyAlignment="1" applyProtection="1">
      <alignment horizontal="center" vertical="center" shrinkToFit="1"/>
    </xf>
    <xf numFmtId="176" fontId="7" fillId="0" borderId="57" xfId="4" applyNumberFormat="1" applyFont="1" applyBorder="1" applyAlignment="1" applyProtection="1">
      <alignment horizontal="center" vertical="center" shrinkToFit="1"/>
    </xf>
    <xf numFmtId="0" fontId="7" fillId="0" borderId="58" xfId="4" applyFont="1" applyBorder="1" applyAlignment="1" applyProtection="1">
      <alignment horizontal="center" vertical="center"/>
    </xf>
    <xf numFmtId="0" fontId="7" fillId="0" borderId="59" xfId="4" applyFont="1" applyBorder="1" applyAlignment="1" applyProtection="1">
      <alignment horizontal="center" vertical="center"/>
    </xf>
    <xf numFmtId="0" fontId="7" fillId="0" borderId="59" xfId="4" applyFont="1" applyFill="1" applyBorder="1" applyAlignment="1" applyProtection="1">
      <alignment horizontal="center" vertical="center"/>
    </xf>
    <xf numFmtId="3" fontId="7" fillId="0" borderId="59" xfId="4" applyNumberFormat="1" applyFont="1" applyFill="1" applyBorder="1" applyAlignment="1" applyProtection="1">
      <alignment vertical="top"/>
    </xf>
    <xf numFmtId="176" fontId="7" fillId="0" borderId="59" xfId="4" applyNumberFormat="1" applyFont="1" applyFill="1" applyBorder="1" applyAlignment="1" applyProtection="1">
      <alignment vertical="top" shrinkToFit="1"/>
    </xf>
    <xf numFmtId="176" fontId="7" fillId="0" borderId="60" xfId="4" applyNumberFormat="1" applyFont="1" applyFill="1" applyBorder="1" applyAlignment="1" applyProtection="1">
      <alignment vertical="top" shrinkToFit="1"/>
    </xf>
    <xf numFmtId="0" fontId="7" fillId="0" borderId="59" xfId="4" applyFont="1" applyFill="1" applyBorder="1" applyAlignment="1" applyProtection="1">
      <alignment vertical="center" shrinkToFit="1"/>
    </xf>
    <xf numFmtId="176" fontId="7" fillId="0" borderId="61" xfId="4" applyNumberFormat="1" applyFont="1" applyFill="1" applyBorder="1" applyAlignment="1" applyProtection="1">
      <alignment vertical="top" shrinkToFit="1"/>
    </xf>
    <xf numFmtId="176" fontId="7" fillId="0" borderId="60" xfId="4" applyNumberFormat="1" applyFont="1" applyBorder="1" applyAlignment="1" applyProtection="1">
      <alignment vertical="top" shrinkToFit="1"/>
    </xf>
    <xf numFmtId="14" fontId="7" fillId="0" borderId="0" xfId="4" applyNumberFormat="1" applyFont="1" applyAlignment="1" applyProtection="1">
      <alignment horizontal="center" vertical="center" shrinkToFit="1"/>
    </xf>
    <xf numFmtId="193" fontId="7" fillId="0" borderId="23" xfId="4" applyNumberFormat="1" applyFont="1" applyFill="1" applyBorder="1" applyAlignment="1" applyProtection="1">
      <alignment vertical="top" wrapText="1"/>
    </xf>
    <xf numFmtId="193" fontId="7" fillId="0" borderId="6" xfId="4" applyNumberFormat="1" applyFont="1" applyFill="1" applyBorder="1" applyAlignment="1" applyProtection="1">
      <alignment vertical="top"/>
    </xf>
    <xf numFmtId="0" fontId="7" fillId="0" borderId="1" xfId="4" applyFont="1" applyFill="1" applyBorder="1" applyAlignment="1" applyProtection="1">
      <alignment horizontal="center" vertical="center" shrinkToFit="1"/>
    </xf>
    <xf numFmtId="193" fontId="7" fillId="0" borderId="6" xfId="4" applyNumberFormat="1" applyFont="1" applyFill="1" applyBorder="1" applyAlignment="1" applyProtection="1">
      <alignment vertical="top" wrapText="1"/>
    </xf>
    <xf numFmtId="0" fontId="7" fillId="0" borderId="64" xfId="4" applyFont="1" applyBorder="1" applyAlignment="1" applyProtection="1">
      <alignment horizontal="center" vertical="center" wrapText="1"/>
    </xf>
    <xf numFmtId="0" fontId="7" fillId="0" borderId="64" xfId="4" applyFont="1" applyFill="1" applyBorder="1" applyAlignment="1" applyProtection="1">
      <alignment horizontal="center" vertical="center" shrinkToFit="1"/>
    </xf>
    <xf numFmtId="193" fontId="7" fillId="0" borderId="64" xfId="4" applyNumberFormat="1" applyFont="1" applyBorder="1" applyAlignment="1" applyProtection="1">
      <alignment vertical="top" wrapText="1"/>
    </xf>
    <xf numFmtId="176" fontId="7" fillId="0" borderId="64" xfId="4" applyNumberFormat="1" applyFont="1" applyBorder="1" applyAlignment="1" applyProtection="1">
      <alignment vertical="top" shrinkToFit="1"/>
    </xf>
    <xf numFmtId="0" fontId="7" fillId="0" borderId="64" xfId="4" applyFont="1" applyBorder="1" applyAlignment="1" applyProtection="1">
      <alignment horizontal="center" vertical="center" shrinkToFit="1"/>
    </xf>
    <xf numFmtId="193" fontId="7" fillId="0" borderId="64" xfId="4" applyNumberFormat="1" applyFont="1" applyFill="1" applyBorder="1" applyAlignment="1" applyProtection="1">
      <alignment vertical="top" wrapText="1"/>
    </xf>
    <xf numFmtId="176" fontId="7" fillId="0" borderId="65" xfId="4" applyNumberFormat="1" applyFont="1" applyBorder="1" applyAlignment="1" applyProtection="1">
      <alignment horizontal="center" vertical="center" shrinkToFit="1"/>
    </xf>
    <xf numFmtId="3" fontId="7" fillId="7" borderId="66" xfId="4" applyNumberFormat="1" applyFont="1" applyFill="1" applyBorder="1" applyAlignment="1" applyProtection="1">
      <alignment horizontal="center" vertical="center" shrinkToFit="1"/>
      <protection locked="0"/>
    </xf>
    <xf numFmtId="176" fontId="7" fillId="0" borderId="66" xfId="4" applyNumberFormat="1" applyFont="1" applyBorder="1" applyAlignment="1" applyProtection="1">
      <alignment horizontal="center" vertical="center" shrinkToFit="1"/>
    </xf>
    <xf numFmtId="176" fontId="7" fillId="0" borderId="67" xfId="4" applyNumberFormat="1" applyFont="1" applyBorder="1" applyAlignment="1" applyProtection="1">
      <alignment horizontal="center" vertical="center" shrinkToFit="1"/>
    </xf>
    <xf numFmtId="0" fontId="7" fillId="0" borderId="59" xfId="4" applyFont="1" applyFill="1" applyBorder="1" applyAlignment="1" applyProtection="1">
      <alignment vertical="top"/>
    </xf>
    <xf numFmtId="0" fontId="7" fillId="0" borderId="68" xfId="4" applyFont="1" applyBorder="1" applyProtection="1">
      <alignment vertical="center"/>
    </xf>
    <xf numFmtId="0" fontId="7" fillId="0" borderId="69" xfId="4" applyFont="1" applyBorder="1" applyProtection="1">
      <alignment vertical="center"/>
    </xf>
    <xf numFmtId="0" fontId="7" fillId="0" borderId="69" xfId="4" applyFont="1" applyBorder="1" applyAlignment="1" applyProtection="1">
      <alignment vertical="top"/>
    </xf>
    <xf numFmtId="176" fontId="7" fillId="0" borderId="70" xfId="4" applyNumberFormat="1" applyFont="1" applyBorder="1" applyAlignment="1" applyProtection="1">
      <alignment vertical="top"/>
    </xf>
    <xf numFmtId="0" fontId="7" fillId="0" borderId="71" xfId="4" applyFont="1" applyBorder="1" applyAlignment="1" applyProtection="1">
      <alignment horizontal="center" vertical="center"/>
    </xf>
    <xf numFmtId="0" fontId="15" fillId="0" borderId="1" xfId="0" applyFont="1" applyBorder="1" applyAlignment="1" applyProtection="1">
      <alignment horizontal="center" vertical="center"/>
    </xf>
    <xf numFmtId="0" fontId="6" fillId="0" borderId="0" xfId="4" applyFont="1" applyProtection="1">
      <alignment vertical="center"/>
    </xf>
    <xf numFmtId="3" fontId="6" fillId="0" borderId="0" xfId="4" applyNumberFormat="1" applyFont="1" applyProtection="1">
      <alignment vertical="center"/>
    </xf>
    <xf numFmtId="0" fontId="6" fillId="0" borderId="0" xfId="4" applyFont="1" applyBorder="1" applyAlignment="1" applyProtection="1">
      <alignment horizontal="center" vertical="center"/>
    </xf>
    <xf numFmtId="0" fontId="6" fillId="0" borderId="0" xfId="4" applyFont="1" applyBorder="1" applyAlignment="1" applyProtection="1">
      <alignment vertical="center"/>
    </xf>
    <xf numFmtId="0" fontId="6" fillId="0" borderId="0" xfId="4" applyFont="1" applyBorder="1" applyProtection="1">
      <alignment vertical="center"/>
    </xf>
    <xf numFmtId="0" fontId="6" fillId="0" borderId="8" xfId="4" applyFont="1" applyBorder="1" applyAlignment="1" applyProtection="1">
      <alignment horizontal="center" vertical="center"/>
    </xf>
    <xf numFmtId="179" fontId="6" fillId="0" borderId="8" xfId="4" applyNumberFormat="1" applyFont="1" applyFill="1" applyBorder="1" applyAlignment="1" applyProtection="1">
      <alignment vertical="center"/>
    </xf>
    <xf numFmtId="0" fontId="6" fillId="0" borderId="1" xfId="4" applyFont="1" applyBorder="1" applyAlignment="1" applyProtection="1">
      <alignment horizontal="center" vertical="center" wrapText="1"/>
    </xf>
    <xf numFmtId="0" fontId="6" fillId="0" borderId="0" xfId="4" applyFont="1" applyAlignment="1" applyProtection="1">
      <alignment vertical="center"/>
    </xf>
    <xf numFmtId="3" fontId="6" fillId="0" borderId="0" xfId="4" applyNumberFormat="1" applyFont="1" applyAlignment="1" applyProtection="1">
      <alignment vertical="center"/>
    </xf>
    <xf numFmtId="0" fontId="6" fillId="0" borderId="6" xfId="4" applyFont="1" applyBorder="1" applyAlignment="1" applyProtection="1">
      <alignment vertical="center"/>
    </xf>
    <xf numFmtId="0" fontId="6" fillId="0" borderId="6" xfId="4" applyFont="1" applyBorder="1" applyAlignment="1" applyProtection="1">
      <alignment horizontal="right" vertical="center"/>
    </xf>
    <xf numFmtId="0" fontId="6" fillId="0" borderId="6" xfId="4" applyFont="1" applyBorder="1" applyAlignment="1" applyProtection="1">
      <alignment horizontal="center" vertical="center"/>
    </xf>
    <xf numFmtId="195" fontId="6" fillId="0" borderId="22" xfId="4" applyNumberFormat="1" applyFont="1" applyBorder="1" applyAlignment="1" applyProtection="1">
      <alignment vertical="top" shrinkToFit="1"/>
    </xf>
    <xf numFmtId="196" fontId="6" fillId="0" borderId="10" xfId="4" applyNumberFormat="1" applyFont="1" applyBorder="1" applyAlignment="1" applyProtection="1">
      <alignment vertical="top" shrinkToFit="1"/>
    </xf>
    <xf numFmtId="3" fontId="6" fillId="0" borderId="0" xfId="4" applyNumberFormat="1" applyFont="1" applyBorder="1" applyProtection="1">
      <alignment vertical="center"/>
    </xf>
    <xf numFmtId="195" fontId="6" fillId="0" borderId="6" xfId="4" applyNumberFormat="1" applyFont="1" applyBorder="1" applyAlignment="1" applyProtection="1">
      <alignment vertical="top" shrinkToFit="1"/>
    </xf>
    <xf numFmtId="0" fontId="6" fillId="6" borderId="75" xfId="4" applyFont="1" applyFill="1" applyBorder="1" applyAlignment="1" applyProtection="1">
      <alignment horizontal="center" vertical="center"/>
    </xf>
    <xf numFmtId="0" fontId="6" fillId="3" borderId="12" xfId="4" applyFont="1" applyFill="1" applyBorder="1" applyAlignment="1" applyProtection="1">
      <alignment horizontal="center" vertical="center"/>
    </xf>
    <xf numFmtId="195" fontId="6" fillId="3" borderId="12" xfId="4" applyNumberFormat="1" applyFont="1" applyFill="1" applyBorder="1" applyAlignment="1" applyProtection="1">
      <alignment vertical="center" shrinkToFit="1"/>
    </xf>
    <xf numFmtId="0" fontId="6" fillId="3" borderId="76" xfId="4" applyFont="1" applyFill="1" applyBorder="1" applyAlignment="1" applyProtection="1">
      <alignment horizontal="center" vertical="center" wrapText="1"/>
    </xf>
    <xf numFmtId="0" fontId="6" fillId="6" borderId="77" xfId="4" applyFont="1" applyFill="1" applyBorder="1" applyAlignment="1" applyProtection="1">
      <alignment horizontal="center" vertical="center"/>
    </xf>
    <xf numFmtId="0" fontId="6" fillId="3" borderId="78" xfId="4" applyFont="1" applyFill="1" applyBorder="1" applyAlignment="1" applyProtection="1">
      <alignment horizontal="center" vertical="center"/>
    </xf>
    <xf numFmtId="196" fontId="6" fillId="3" borderId="78" xfId="4" applyNumberFormat="1" applyFont="1" applyFill="1" applyBorder="1" applyAlignment="1" applyProtection="1">
      <alignment vertical="center" shrinkToFit="1"/>
    </xf>
    <xf numFmtId="0" fontId="6" fillId="3" borderId="79" xfId="4" applyFont="1" applyFill="1" applyBorder="1" applyAlignment="1" applyProtection="1">
      <alignment horizontal="center" vertical="center" wrapText="1"/>
    </xf>
    <xf numFmtId="0" fontId="6" fillId="6" borderId="28" xfId="4" applyFont="1" applyFill="1" applyBorder="1" applyAlignment="1" applyProtection="1">
      <alignment horizontal="center" vertical="center"/>
    </xf>
    <xf numFmtId="0" fontId="6" fillId="3" borderId="20" xfId="4" applyFont="1" applyFill="1" applyBorder="1" applyAlignment="1" applyProtection="1">
      <alignment horizontal="center" vertical="center"/>
    </xf>
    <xf numFmtId="195" fontId="6" fillId="3" borderId="20" xfId="4" applyNumberFormat="1" applyFont="1" applyFill="1" applyBorder="1" applyAlignment="1" applyProtection="1">
      <alignment vertical="center" shrinkToFit="1"/>
    </xf>
    <xf numFmtId="0" fontId="6" fillId="3" borderId="73" xfId="4" applyFont="1" applyFill="1" applyBorder="1" applyAlignment="1" applyProtection="1">
      <alignment horizontal="center" vertical="center" wrapText="1"/>
    </xf>
    <xf numFmtId="0" fontId="28" fillId="0" borderId="0" xfId="0" applyFont="1" applyAlignment="1">
      <alignment horizontal="distributed"/>
    </xf>
    <xf numFmtId="0" fontId="28" fillId="0" borderId="0" xfId="0" applyFont="1" applyAlignment="1">
      <alignment horizontal="center"/>
    </xf>
    <xf numFmtId="0" fontId="28" fillId="0" borderId="1" xfId="0" applyFont="1" applyBorder="1" applyAlignment="1">
      <alignment horizontal="distributed"/>
    </xf>
    <xf numFmtId="0" fontId="28" fillId="0" borderId="1" xfId="0" applyFont="1" applyBorder="1"/>
    <xf numFmtId="0" fontId="28" fillId="0" borderId="1" xfId="0" applyFont="1" applyBorder="1" applyAlignment="1">
      <alignment horizontal="center"/>
    </xf>
    <xf numFmtId="0" fontId="28" fillId="0" borderId="0" xfId="0" applyFont="1" applyAlignment="1">
      <alignment vertical="center" shrinkToFit="1"/>
    </xf>
    <xf numFmtId="0" fontId="28" fillId="0" borderId="1"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 xfId="0" applyFont="1" applyBorder="1" applyAlignment="1">
      <alignment horizontal="center" vertical="center" shrinkToFit="1"/>
    </xf>
    <xf numFmtId="56" fontId="25" fillId="0" borderId="1" xfId="0" applyNumberFormat="1" applyFont="1" applyBorder="1" applyAlignment="1">
      <alignment horizontal="center" vertical="center" shrinkToFit="1"/>
    </xf>
    <xf numFmtId="56" fontId="25" fillId="0" borderId="1" xfId="0" applyNumberFormat="1" applyFont="1" applyBorder="1" applyAlignment="1">
      <alignment horizontal="distributed" vertical="center" shrinkToFit="1"/>
    </xf>
    <xf numFmtId="185" fontId="25" fillId="0" borderId="1" xfId="0" applyNumberFormat="1" applyFont="1" applyBorder="1" applyAlignment="1">
      <alignment vertical="center" shrinkToFit="1"/>
    </xf>
    <xf numFmtId="0" fontId="25" fillId="0" borderId="1" xfId="0" applyFont="1" applyBorder="1" applyAlignment="1">
      <alignment horizontal="distributed" vertical="center" shrinkToFit="1"/>
    </xf>
    <xf numFmtId="197" fontId="25" fillId="0" borderId="1" xfId="0" applyNumberFormat="1" applyFont="1" applyBorder="1" applyAlignment="1">
      <alignment vertical="center" shrinkToFit="1"/>
    </xf>
    <xf numFmtId="177" fontId="25" fillId="0" borderId="1" xfId="0" applyNumberFormat="1" applyFont="1" applyBorder="1" applyAlignment="1">
      <alignment vertical="center" shrinkToFit="1"/>
    </xf>
    <xf numFmtId="56" fontId="25" fillId="0" borderId="6" xfId="0" applyNumberFormat="1" applyFont="1" applyBorder="1" applyAlignment="1">
      <alignment horizontal="distributed" vertical="center" shrinkToFit="1"/>
    </xf>
    <xf numFmtId="185" fontId="25" fillId="0" borderId="6" xfId="0" applyNumberFormat="1" applyFont="1" applyBorder="1" applyAlignment="1">
      <alignment vertical="center" shrinkToFit="1"/>
    </xf>
    <xf numFmtId="56" fontId="25" fillId="0" borderId="13" xfId="0" applyNumberFormat="1" applyFont="1" applyBorder="1" applyAlignment="1">
      <alignment horizontal="distributed" vertical="center" shrinkToFit="1"/>
    </xf>
    <xf numFmtId="185" fontId="25" fillId="0" borderId="5" xfId="0" applyNumberFormat="1" applyFont="1" applyBorder="1" applyAlignment="1">
      <alignment vertical="center" shrinkToFit="1"/>
    </xf>
    <xf numFmtId="185" fontId="25" fillId="0" borderId="5" xfId="0" applyNumberFormat="1" applyFont="1" applyFill="1" applyBorder="1" applyAlignment="1">
      <alignment horizontal="center" vertical="center" shrinkToFit="1"/>
    </xf>
    <xf numFmtId="0" fontId="25" fillId="0" borderId="11" xfId="0" applyFont="1" applyBorder="1" applyAlignment="1">
      <alignment horizontal="distributed" vertical="center" shrinkToFit="1"/>
    </xf>
    <xf numFmtId="185" fontId="25" fillId="0" borderId="11" xfId="0" applyNumberFormat="1" applyFont="1" applyBorder="1" applyAlignment="1">
      <alignment vertical="center" shrinkToFit="1"/>
    </xf>
    <xf numFmtId="0" fontId="6" fillId="0" borderId="1" xfId="0" applyFont="1" applyBorder="1" applyAlignment="1">
      <alignment horizontal="center" vertical="center" shrinkToFit="1"/>
    </xf>
    <xf numFmtId="176" fontId="6" fillId="0" borderId="1" xfId="0" applyNumberFormat="1" applyFont="1" applyBorder="1" applyAlignment="1">
      <alignment vertical="center" shrinkToFit="1"/>
    </xf>
    <xf numFmtId="176" fontId="28" fillId="0" borderId="1" xfId="0" applyNumberFormat="1" applyFont="1" applyBorder="1" applyAlignment="1">
      <alignment horizontal="right" shrinkToFit="1"/>
    </xf>
    <xf numFmtId="176" fontId="28" fillId="0" borderId="1" xfId="0" applyNumberFormat="1" applyFont="1" applyBorder="1" applyAlignment="1">
      <alignment horizontal="right"/>
    </xf>
    <xf numFmtId="195" fontId="6" fillId="2" borderId="22" xfId="4" applyNumberFormat="1" applyFont="1" applyFill="1" applyBorder="1" applyAlignment="1" applyProtection="1">
      <alignment vertical="top" shrinkToFit="1"/>
    </xf>
    <xf numFmtId="196" fontId="6" fillId="2" borderId="10" xfId="4" applyNumberFormat="1" applyFont="1" applyFill="1" applyBorder="1" applyAlignment="1" applyProtection="1">
      <alignment vertical="top" shrinkToFit="1"/>
    </xf>
    <xf numFmtId="195" fontId="6" fillId="2" borderId="6" xfId="4" applyNumberFormat="1" applyFont="1" applyFill="1" applyBorder="1" applyAlignment="1" applyProtection="1">
      <alignment vertical="top" shrinkToFit="1"/>
    </xf>
    <xf numFmtId="192" fontId="7" fillId="0" borderId="27" xfId="4" applyNumberFormat="1" applyFont="1" applyFill="1" applyBorder="1" applyAlignment="1" applyProtection="1">
      <alignment vertical="top" wrapText="1"/>
    </xf>
    <xf numFmtId="0" fontId="7" fillId="0" borderId="27" xfId="4" applyFont="1" applyFill="1" applyBorder="1" applyAlignment="1" applyProtection="1">
      <alignment horizontal="center" vertical="center" shrinkToFit="1"/>
    </xf>
    <xf numFmtId="0" fontId="7" fillId="0" borderId="36" xfId="4" applyFont="1" applyFill="1" applyBorder="1" applyAlignment="1" applyProtection="1">
      <alignment horizontal="center" vertical="center" shrinkToFit="1"/>
    </xf>
    <xf numFmtId="176" fontId="7" fillId="0" borderId="36" xfId="4" applyNumberFormat="1" applyFont="1" applyFill="1" applyBorder="1" applyAlignment="1" applyProtection="1">
      <alignment vertical="top" shrinkToFit="1"/>
    </xf>
    <xf numFmtId="0" fontId="7" fillId="0" borderId="40" xfId="4" applyFont="1" applyFill="1" applyBorder="1" applyAlignment="1" applyProtection="1">
      <alignment horizontal="center" vertical="center" shrinkToFit="1"/>
    </xf>
    <xf numFmtId="0" fontId="7" fillId="0" borderId="45" xfId="4" applyFont="1" applyFill="1" applyBorder="1" applyAlignment="1" applyProtection="1">
      <alignment horizontal="center" vertical="center" shrinkToFit="1"/>
    </xf>
    <xf numFmtId="176" fontId="7" fillId="0" borderId="45" xfId="4" applyNumberFormat="1" applyFont="1" applyFill="1" applyBorder="1" applyAlignment="1" applyProtection="1">
      <alignment vertical="top" shrinkToFit="1"/>
    </xf>
    <xf numFmtId="0" fontId="7" fillId="0" borderId="54" xfId="4" applyFont="1" applyFill="1" applyBorder="1" applyAlignment="1" applyProtection="1">
      <alignment horizontal="center" vertical="center" shrinkToFit="1"/>
    </xf>
    <xf numFmtId="176" fontId="7" fillId="0" borderId="54" xfId="4" applyNumberFormat="1" applyFont="1" applyFill="1" applyBorder="1" applyAlignment="1" applyProtection="1">
      <alignment vertical="top" shrinkToFit="1"/>
    </xf>
    <xf numFmtId="0" fontId="28" fillId="0" borderId="1" xfId="0" applyFont="1" applyBorder="1" applyAlignment="1">
      <alignment horizontal="centerContinuous"/>
    </xf>
    <xf numFmtId="0" fontId="8" fillId="0" borderId="0" xfId="5" applyFont="1" applyAlignment="1">
      <alignment vertical="top"/>
    </xf>
    <xf numFmtId="0" fontId="8" fillId="0" borderId="0" xfId="5" applyFont="1" applyAlignment="1">
      <alignment horizontal="right" vertical="top"/>
    </xf>
    <xf numFmtId="179" fontId="8" fillId="0" borderId="0" xfId="5" applyNumberFormat="1" applyFont="1" applyAlignment="1">
      <alignment horizontal="center" vertical="top"/>
    </xf>
    <xf numFmtId="0" fontId="32" fillId="8" borderId="0" xfId="5" applyFont="1" applyFill="1" applyBorder="1" applyAlignment="1">
      <alignment horizontal="center" vertical="top" wrapText="1" shrinkToFit="1"/>
    </xf>
    <xf numFmtId="200" fontId="32" fillId="8" borderId="0" xfId="5" applyNumberFormat="1" applyFont="1" applyFill="1" applyBorder="1" applyAlignment="1">
      <alignment horizontal="center" vertical="top" wrapText="1"/>
    </xf>
    <xf numFmtId="38" fontId="8" fillId="0" borderId="0" xfId="5" applyNumberFormat="1" applyFont="1" applyBorder="1" applyAlignment="1">
      <alignment vertical="top"/>
    </xf>
    <xf numFmtId="0" fontId="8" fillId="0" borderId="0" xfId="5" applyFont="1" applyBorder="1" applyAlignment="1">
      <alignment vertical="top"/>
    </xf>
    <xf numFmtId="38" fontId="8" fillId="0" borderId="0" xfId="6" applyFont="1" applyBorder="1" applyAlignment="1">
      <alignment vertical="top"/>
    </xf>
    <xf numFmtId="0" fontId="33" fillId="0" borderId="0" xfId="5" applyFont="1" applyBorder="1" applyAlignment="1">
      <alignment vertical="top"/>
    </xf>
    <xf numFmtId="0" fontId="8" fillId="0" borderId="0" xfId="5" applyFont="1" applyAlignment="1" applyProtection="1">
      <alignment horizontal="center" vertical="top"/>
      <protection locked="0"/>
    </xf>
    <xf numFmtId="0" fontId="8" fillId="0" borderId="0" xfId="5" applyFont="1" applyBorder="1" applyAlignment="1">
      <alignment horizontal="center" vertical="top"/>
    </xf>
    <xf numFmtId="0" fontId="8" fillId="0" borderId="0" xfId="5" applyFont="1" applyAlignment="1">
      <alignment horizontal="center" vertical="top"/>
    </xf>
    <xf numFmtId="201" fontId="8" fillId="0" borderId="0" xfId="5" applyNumberFormat="1" applyFont="1" applyAlignment="1">
      <alignment horizontal="left" vertical="top" wrapText="1"/>
    </xf>
    <xf numFmtId="0" fontId="8" fillId="0" borderId="0" xfId="5" applyFont="1" applyAlignment="1">
      <alignment horizontal="left" vertical="top" wrapText="1"/>
    </xf>
    <xf numFmtId="0" fontId="16" fillId="0" borderId="0" xfId="5" applyFont="1" applyAlignment="1">
      <alignment vertical="top"/>
    </xf>
    <xf numFmtId="0" fontId="21" fillId="0" borderId="0" xfId="5" applyFont="1" applyAlignment="1">
      <alignment vertical="top"/>
    </xf>
    <xf numFmtId="0" fontId="8" fillId="0" borderId="0" xfId="5" applyFont="1" applyAlignment="1">
      <alignment vertical="top" wrapText="1"/>
    </xf>
    <xf numFmtId="0" fontId="8" fillId="0" borderId="80" xfId="5" applyFont="1" applyBorder="1" applyAlignment="1" applyProtection="1">
      <alignment vertical="top"/>
      <protection locked="0"/>
    </xf>
    <xf numFmtId="0" fontId="8" fillId="0" borderId="81" xfId="5" applyFont="1" applyBorder="1" applyAlignment="1" applyProtection="1">
      <alignment vertical="top"/>
      <protection locked="0"/>
    </xf>
    <xf numFmtId="0" fontId="8" fillId="0" borderId="82" xfId="5" applyFont="1" applyBorder="1" applyAlignment="1" applyProtection="1">
      <alignment vertical="top"/>
      <protection locked="0"/>
    </xf>
    <xf numFmtId="0" fontId="8" fillId="0" borderId="83" xfId="5" applyFont="1" applyBorder="1" applyAlignment="1" applyProtection="1">
      <alignment vertical="top"/>
      <protection locked="0"/>
    </xf>
    <xf numFmtId="0" fontId="8" fillId="0" borderId="0" xfId="5" applyFont="1" applyBorder="1" applyAlignment="1" applyProtection="1">
      <alignment vertical="top"/>
      <protection locked="0"/>
    </xf>
    <xf numFmtId="0" fontId="8" fillId="0" borderId="84" xfId="5" applyFont="1" applyBorder="1" applyAlignment="1" applyProtection="1">
      <alignment vertical="top"/>
      <protection locked="0"/>
    </xf>
    <xf numFmtId="0" fontId="7" fillId="0" borderId="83" xfId="5" applyFont="1" applyBorder="1" applyAlignment="1" applyProtection="1">
      <alignment horizontal="center" vertical="center" shrinkToFit="1"/>
      <protection locked="0"/>
    </xf>
    <xf numFmtId="0" fontId="10" fillId="0" borderId="84" xfId="5" applyFont="1" applyBorder="1" applyAlignment="1" applyProtection="1">
      <alignment horizontal="center" vertical="center" shrinkToFit="1"/>
      <protection locked="0"/>
    </xf>
    <xf numFmtId="0" fontId="10" fillId="0" borderId="83" xfId="5" applyFont="1" applyBorder="1" applyAlignment="1" applyProtection="1">
      <alignment horizontal="center" vertical="center" shrinkToFit="1"/>
      <protection locked="0"/>
    </xf>
    <xf numFmtId="0" fontId="10" fillId="0" borderId="83" xfId="5" applyFont="1" applyBorder="1" applyAlignment="1" applyProtection="1">
      <alignment horizontal="center" vertical="top"/>
      <protection locked="0"/>
    </xf>
    <xf numFmtId="0" fontId="10" fillId="0" borderId="0" xfId="5" applyFont="1" applyAlignment="1" applyProtection="1">
      <alignment horizontal="center" vertical="top"/>
      <protection locked="0"/>
    </xf>
    <xf numFmtId="0" fontId="10" fillId="0" borderId="84" xfId="5" applyFont="1" applyBorder="1" applyAlignment="1" applyProtection="1">
      <alignment horizontal="center" vertical="top"/>
      <protection locked="0"/>
    </xf>
    <xf numFmtId="0" fontId="8" fillId="0" borderId="85" xfId="5" applyFont="1" applyBorder="1" applyAlignment="1" applyProtection="1">
      <alignment vertical="top"/>
      <protection locked="0"/>
    </xf>
    <xf numFmtId="0" fontId="8" fillId="0" borderId="86" xfId="5" applyFont="1" applyBorder="1" applyAlignment="1" applyProtection="1">
      <alignment vertical="top"/>
      <protection locked="0"/>
    </xf>
    <xf numFmtId="0" fontId="8" fillId="0" borderId="87" xfId="5" applyFont="1" applyBorder="1" applyAlignment="1" applyProtection="1">
      <alignment vertical="top"/>
      <protection locked="0"/>
    </xf>
    <xf numFmtId="0" fontId="34" fillId="0" borderId="0" xfId="5" applyFont="1">
      <alignment vertical="center"/>
    </xf>
    <xf numFmtId="0" fontId="34" fillId="0" borderId="0" xfId="5" applyFont="1" applyAlignment="1">
      <alignment horizontal="right" vertical="center"/>
    </xf>
    <xf numFmtId="0" fontId="34" fillId="0" borderId="0" xfId="5" applyFont="1" applyAlignment="1">
      <alignment horizontal="distributed" vertical="center"/>
    </xf>
    <xf numFmtId="0" fontId="12" fillId="0" borderId="1" xfId="5" applyFont="1" applyBorder="1" applyAlignment="1">
      <alignment horizontal="center" vertical="center"/>
    </xf>
    <xf numFmtId="0" fontId="34" fillId="0" borderId="0" xfId="5" applyFont="1" applyBorder="1" applyAlignment="1">
      <alignment horizontal="center" vertical="center"/>
    </xf>
    <xf numFmtId="0" fontId="6" fillId="0" borderId="0" xfId="5" applyFont="1" applyProtection="1">
      <alignment vertical="center"/>
    </xf>
    <xf numFmtId="0" fontId="6" fillId="0" borderId="0" xfId="5" applyFont="1" applyBorder="1" applyAlignment="1" applyProtection="1"/>
    <xf numFmtId="0" fontId="11" fillId="0" borderId="0" xfId="5" applyFont="1" applyBorder="1" applyAlignment="1" applyProtection="1">
      <alignment vertical="center"/>
    </xf>
    <xf numFmtId="0" fontId="11" fillId="0" borderId="0" xfId="5" applyFont="1" applyFill="1" applyBorder="1" applyAlignment="1" applyProtection="1">
      <alignment horizontal="center" vertical="center" shrinkToFit="1"/>
    </xf>
    <xf numFmtId="0" fontId="6" fillId="0" borderId="0" xfId="5" applyFont="1" applyBorder="1" applyAlignment="1" applyProtection="1">
      <alignment vertical="center"/>
    </xf>
    <xf numFmtId="0" fontId="6" fillId="0" borderId="0" xfId="5" applyFont="1" applyAlignment="1" applyProtection="1"/>
    <xf numFmtId="0" fontId="7" fillId="0" borderId="0" xfId="5" applyFont="1" applyAlignment="1" applyProtection="1">
      <alignment horizontal="center"/>
    </xf>
    <xf numFmtId="0" fontId="38" fillId="0" borderId="0" xfId="5" applyFont="1" applyAlignment="1" applyProtection="1">
      <alignment horizontal="left"/>
    </xf>
    <xf numFmtId="0" fontId="11" fillId="0" borderId="0" xfId="5" applyFont="1" applyAlignment="1" applyProtection="1"/>
    <xf numFmtId="0" fontId="29" fillId="0" borderId="1" xfId="5" applyFont="1" applyBorder="1" applyAlignment="1" applyProtection="1">
      <alignment horizontal="center"/>
    </xf>
    <xf numFmtId="0" fontId="29" fillId="0" borderId="1" xfId="5" applyFont="1" applyBorder="1" applyAlignment="1" applyProtection="1">
      <alignment horizontal="center" vertical="center"/>
    </xf>
    <xf numFmtId="0" fontId="29" fillId="0" borderId="1" xfId="5" applyFont="1" applyBorder="1" applyAlignment="1" applyProtection="1">
      <alignment horizontal="left" vertical="center" shrinkToFit="1"/>
    </xf>
    <xf numFmtId="0" fontId="18" fillId="0" borderId="1" xfId="5" applyFont="1" applyBorder="1" applyAlignment="1" applyProtection="1"/>
    <xf numFmtId="0" fontId="6" fillId="0" borderId="1" xfId="5" applyFont="1" applyBorder="1" applyAlignment="1" applyProtection="1"/>
    <xf numFmtId="0" fontId="43" fillId="0" borderId="0" xfId="5" applyFont="1" applyAlignment="1" applyProtection="1"/>
    <xf numFmtId="0" fontId="6" fillId="0" borderId="1" xfId="5" applyFont="1" applyBorder="1" applyAlignment="1" applyProtection="1">
      <alignment vertical="center"/>
    </xf>
    <xf numFmtId="0" fontId="46" fillId="0" borderId="0" xfId="7" applyFont="1">
      <alignment vertical="center"/>
    </xf>
    <xf numFmtId="0" fontId="46" fillId="0" borderId="0" xfId="7" applyFont="1" applyAlignment="1">
      <alignment horizontal="right" vertical="center"/>
    </xf>
    <xf numFmtId="0" fontId="46" fillId="0" borderId="1" xfId="7" applyFont="1" applyBorder="1" applyAlignment="1">
      <alignment horizontal="center" vertical="center"/>
    </xf>
    <xf numFmtId="0" fontId="18" fillId="0" borderId="1" xfId="7" applyFont="1" applyBorder="1" applyAlignment="1">
      <alignment horizontal="center" vertical="center"/>
    </xf>
    <xf numFmtId="0" fontId="46" fillId="0" borderId="6" xfId="7" applyFont="1" applyBorder="1" applyAlignment="1">
      <alignment horizontal="right" vertical="top"/>
    </xf>
    <xf numFmtId="0" fontId="18" fillId="0" borderId="0" xfId="7" applyFont="1" applyAlignment="1">
      <alignment vertical="center"/>
    </xf>
    <xf numFmtId="3" fontId="48" fillId="0" borderId="0" xfId="7" applyNumberFormat="1" applyFont="1" applyAlignment="1">
      <alignment horizontal="right" vertical="center"/>
    </xf>
    <xf numFmtId="0" fontId="46" fillId="0" borderId="3" xfId="7" applyFont="1" applyBorder="1" applyAlignment="1">
      <alignment horizontal="center" vertical="center"/>
    </xf>
    <xf numFmtId="0" fontId="48" fillId="0" borderId="0" xfId="7" applyFont="1" applyAlignment="1">
      <alignment horizontal="right" vertical="center"/>
    </xf>
    <xf numFmtId="3" fontId="48" fillId="0" borderId="0" xfId="7" applyNumberFormat="1" applyFont="1">
      <alignment vertical="center"/>
    </xf>
    <xf numFmtId="179" fontId="46" fillId="0" borderId="0" xfId="7" applyNumberFormat="1" applyFont="1" applyAlignment="1">
      <alignment horizontal="distributed" vertical="center"/>
    </xf>
    <xf numFmtId="0" fontId="46" fillId="0" borderId="0" xfId="7" applyFont="1" applyAlignment="1">
      <alignment horizontal="distributed" vertical="center"/>
    </xf>
    <xf numFmtId="0" fontId="1" fillId="0" borderId="0" xfId="5" applyAlignment="1">
      <alignment horizontal="distributed" vertical="center"/>
    </xf>
    <xf numFmtId="0" fontId="46" fillId="0" borderId="0" xfId="7" applyFont="1" applyAlignment="1"/>
    <xf numFmtId="3" fontId="46" fillId="0" borderId="0" xfId="7" applyNumberFormat="1" applyFont="1">
      <alignment vertical="center"/>
    </xf>
    <xf numFmtId="0" fontId="11" fillId="0" borderId="3" xfId="5" applyFont="1" applyFill="1" applyBorder="1" applyAlignment="1" applyProtection="1">
      <alignment vertical="center" shrinkToFit="1"/>
    </xf>
    <xf numFmtId="0" fontId="17" fillId="0" borderId="0" xfId="3" applyFont="1" applyAlignment="1">
      <alignment horizontal="left" vertical="center" wrapText="1"/>
    </xf>
    <xf numFmtId="0" fontId="28" fillId="0" borderId="1" xfId="0" applyFont="1" applyBorder="1" applyAlignment="1">
      <alignment horizontal="center" vertical="center" shrinkToFit="1"/>
    </xf>
    <xf numFmtId="0" fontId="41" fillId="0" borderId="17" xfId="5" applyFont="1" applyFill="1" applyBorder="1" applyAlignment="1" applyProtection="1">
      <alignment horizontal="center" vertical="center"/>
    </xf>
    <xf numFmtId="0" fontId="41" fillId="0" borderId="18" xfId="5" applyFont="1" applyFill="1" applyBorder="1" applyAlignment="1" applyProtection="1">
      <alignment horizontal="center" vertical="center"/>
    </xf>
    <xf numFmtId="0" fontId="41" fillId="0" borderId="19" xfId="5" applyFont="1" applyFill="1" applyBorder="1" applyAlignment="1" applyProtection="1">
      <alignment horizontal="center" vertical="center"/>
    </xf>
    <xf numFmtId="0" fontId="11" fillId="0" borderId="29" xfId="5" applyFont="1" applyFill="1" applyBorder="1" applyAlignment="1" applyProtection="1">
      <alignment horizontal="center" vertical="center" shrinkToFit="1"/>
    </xf>
    <xf numFmtId="0" fontId="11" fillId="0" borderId="30" xfId="5" applyFont="1" applyFill="1" applyBorder="1" applyAlignment="1" applyProtection="1">
      <alignment horizontal="center" vertical="center" shrinkToFit="1"/>
    </xf>
    <xf numFmtId="0" fontId="11" fillId="0" borderId="88" xfId="5" applyFont="1" applyFill="1" applyBorder="1" applyAlignment="1" applyProtection="1">
      <alignment horizontal="center" vertical="center" shrinkToFit="1"/>
    </xf>
    <xf numFmtId="0" fontId="6" fillId="0" borderId="1" xfId="0" applyFont="1" applyBorder="1" applyAlignment="1" applyProtection="1">
      <alignment vertical="center"/>
    </xf>
    <xf numFmtId="0" fontId="28" fillId="0" borderId="8" xfId="0" applyFont="1" applyBorder="1" applyAlignment="1">
      <alignment vertical="center" shrinkToFit="1"/>
    </xf>
    <xf numFmtId="0" fontId="28" fillId="0" borderId="0" xfId="0" applyFont="1" applyBorder="1" applyAlignment="1">
      <alignment vertical="center" shrinkToFit="1"/>
    </xf>
    <xf numFmtId="205" fontId="28" fillId="0" borderId="1" xfId="0" applyNumberFormat="1" applyFont="1" applyBorder="1" applyAlignment="1">
      <alignment horizontal="distributed" vertical="center" shrinkToFit="1"/>
    </xf>
    <xf numFmtId="0" fontId="25" fillId="0" borderId="0" xfId="0" applyFont="1" applyBorder="1" applyAlignment="1">
      <alignment horizontal="center" vertical="center" shrinkToFit="1"/>
    </xf>
    <xf numFmtId="0" fontId="8" fillId="0" borderId="0" xfId="5" applyFont="1" applyAlignment="1">
      <alignment vertical="top"/>
    </xf>
    <xf numFmtId="200" fontId="32" fillId="8" borderId="0" xfId="5" applyNumberFormat="1" applyFont="1" applyFill="1" applyBorder="1" applyAlignment="1">
      <alignment horizontal="center" vertical="top" wrapText="1"/>
    </xf>
    <xf numFmtId="0" fontId="8" fillId="0" borderId="0" xfId="0" applyFont="1" applyAlignment="1" applyProtection="1">
      <alignment vertical="center" wrapText="1"/>
    </xf>
    <xf numFmtId="0" fontId="15" fillId="0" borderId="0" xfId="0" applyFont="1" applyAlignment="1" applyProtection="1">
      <alignment vertical="center" wrapText="1"/>
    </xf>
    <xf numFmtId="0" fontId="28" fillId="0" borderId="15" xfId="0" applyFont="1" applyBorder="1" applyAlignment="1">
      <alignment vertical="center"/>
    </xf>
    <xf numFmtId="0" fontId="6" fillId="0" borderId="0" xfId="4" applyFont="1" applyAlignment="1" applyProtection="1">
      <alignment horizontal="center" vertical="center"/>
    </xf>
    <xf numFmtId="0" fontId="7" fillId="6" borderId="1" xfId="4" applyFont="1" applyFill="1" applyBorder="1" applyAlignment="1" applyProtection="1">
      <alignment horizontal="center" vertical="center"/>
    </xf>
    <xf numFmtId="0" fontId="7" fillId="0" borderId="0" xfId="4" applyFont="1" applyBorder="1" applyAlignment="1" applyProtection="1">
      <alignment horizontal="center" vertical="center" shrinkToFit="1"/>
    </xf>
    <xf numFmtId="0" fontId="7" fillId="6" borderId="1" xfId="4" applyFont="1" applyFill="1" applyBorder="1" applyAlignment="1" applyProtection="1">
      <alignment horizontal="center" vertical="center" wrapText="1"/>
    </xf>
    <xf numFmtId="0" fontId="7" fillId="0" borderId="6" xfId="4" applyFont="1" applyBorder="1" applyAlignment="1" applyProtection="1">
      <alignment horizontal="center" vertical="center" wrapText="1"/>
    </xf>
    <xf numFmtId="0" fontId="7" fillId="0" borderId="20" xfId="4" applyFont="1" applyBorder="1" applyAlignment="1" applyProtection="1">
      <alignment horizontal="center" vertical="center" wrapText="1"/>
    </xf>
    <xf numFmtId="0" fontId="7" fillId="0" borderId="0" xfId="4" applyFont="1" applyAlignment="1" applyProtection="1">
      <alignment horizontal="center" vertical="center" shrinkToFit="1"/>
    </xf>
    <xf numFmtId="198" fontId="28" fillId="0" borderId="1" xfId="0" applyNumberFormat="1" applyFont="1" applyBorder="1" applyAlignment="1">
      <alignment horizontal="center" shrinkToFit="1"/>
    </xf>
    <xf numFmtId="199" fontId="28" fillId="2" borderId="1" xfId="0" applyNumberFormat="1" applyFont="1" applyFill="1" applyBorder="1" applyAlignment="1">
      <alignment vertical="center"/>
    </xf>
    <xf numFmtId="0" fontId="28" fillId="0" borderId="1" xfId="0" applyFont="1" applyBorder="1" applyAlignment="1">
      <alignment horizontal="left" vertical="center" shrinkToFit="1"/>
    </xf>
    <xf numFmtId="198" fontId="28" fillId="0" borderId="1" xfId="0" applyNumberFormat="1" applyFont="1" applyBorder="1" applyAlignment="1">
      <alignment horizontal="right" vertical="center" shrinkToFit="1"/>
    </xf>
    <xf numFmtId="0" fontId="28" fillId="0" borderId="0" xfId="0" applyFont="1" applyAlignment="1">
      <alignment horizontal="left" vertical="center" shrinkToFit="1"/>
    </xf>
    <xf numFmtId="176" fontId="28" fillId="0" borderId="1" xfId="0" applyNumberFormat="1" applyFont="1" applyBorder="1"/>
    <xf numFmtId="0" fontId="28" fillId="0" borderId="1" xfId="0" applyFont="1" applyBorder="1" applyAlignment="1">
      <alignment shrinkToFit="1"/>
    </xf>
    <xf numFmtId="0" fontId="28" fillId="6" borderId="1" xfId="0" applyFont="1" applyFill="1" applyBorder="1" applyAlignment="1">
      <alignment horizontal="center"/>
    </xf>
    <xf numFmtId="0" fontId="28" fillId="0" borderId="1" xfId="0" applyFont="1" applyBorder="1" applyAlignment="1">
      <alignment horizontal="center" wrapText="1"/>
    </xf>
    <xf numFmtId="0" fontId="8" fillId="0" borderId="0" xfId="0" applyFont="1" applyAlignment="1" applyProtection="1">
      <alignment horizontal="center" vertical="center" wrapText="1"/>
    </xf>
    <xf numFmtId="0" fontId="15" fillId="0" borderId="0" xfId="0" applyFont="1" applyBorder="1" applyAlignment="1" applyProtection="1">
      <alignment vertical="center" wrapText="1"/>
    </xf>
    <xf numFmtId="0" fontId="15" fillId="0" borderId="0" xfId="0" applyFont="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38" fontId="15" fillId="0" borderId="0" xfId="1"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8" fillId="0" borderId="1" xfId="0" applyFont="1" applyBorder="1" applyAlignment="1" applyProtection="1">
      <alignment vertical="center" wrapText="1" shrinkToFit="1"/>
    </xf>
    <xf numFmtId="0" fontId="15" fillId="0" borderId="0" xfId="0" applyFont="1" applyBorder="1" applyAlignment="1" applyProtection="1">
      <alignment horizontal="left" vertical="center" wrapText="1" shrinkToFit="1"/>
    </xf>
    <xf numFmtId="0" fontId="8" fillId="0" borderId="19" xfId="0" applyFont="1" applyBorder="1" applyAlignment="1" applyProtection="1">
      <alignment horizontal="center" vertical="center" wrapText="1"/>
    </xf>
    <xf numFmtId="0" fontId="8" fillId="0" borderId="1" xfId="0" applyFont="1" applyBorder="1" applyAlignment="1" applyProtection="1">
      <alignment vertical="center" shrinkToFit="1"/>
    </xf>
    <xf numFmtId="178" fontId="8" fillId="0" borderId="3" xfId="0" applyNumberFormat="1" applyFont="1" applyBorder="1" applyAlignment="1" applyProtection="1">
      <alignment horizontal="center" vertical="center" wrapText="1" shrinkToFit="1"/>
    </xf>
    <xf numFmtId="0" fontId="8" fillId="0" borderId="4" xfId="0" applyFont="1" applyBorder="1" applyAlignment="1" applyProtection="1">
      <alignment horizontal="center" vertical="center" wrapText="1"/>
    </xf>
    <xf numFmtId="179" fontId="8" fillId="0" borderId="2" xfId="0" applyNumberFormat="1" applyFont="1" applyFill="1" applyBorder="1" applyAlignment="1" applyProtection="1">
      <alignment horizontal="center" vertical="center" wrapText="1"/>
    </xf>
    <xf numFmtId="179" fontId="8" fillId="0" borderId="3" xfId="0" applyNumberFormat="1" applyFont="1" applyFill="1" applyBorder="1" applyAlignment="1" applyProtection="1">
      <alignment horizontal="center" vertical="center" wrapText="1"/>
    </xf>
    <xf numFmtId="179" fontId="8" fillId="0" borderId="4" xfId="0" applyNumberFormat="1" applyFont="1" applyFill="1" applyBorder="1" applyAlignment="1" applyProtection="1">
      <alignment horizontal="center" vertical="center" wrapText="1"/>
    </xf>
    <xf numFmtId="181" fontId="8" fillId="0" borderId="4" xfId="0" applyNumberFormat="1" applyFont="1" applyBorder="1" applyAlignment="1" applyProtection="1">
      <alignment horizontal="center" vertical="center"/>
    </xf>
    <xf numFmtId="0" fontId="15" fillId="0" borderId="0" xfId="0" applyFont="1" applyAlignment="1" applyProtection="1">
      <alignment horizontal="center" vertical="center" wrapText="1"/>
    </xf>
    <xf numFmtId="0" fontId="8" fillId="0" borderId="0" xfId="0" applyFont="1" applyBorder="1" applyAlignment="1" applyProtection="1">
      <alignment horizontal="center" vertical="center" wrapText="1"/>
    </xf>
    <xf numFmtId="0" fontId="15" fillId="0" borderId="0" xfId="0" applyFont="1" applyBorder="1" applyAlignment="1" applyProtection="1">
      <alignment horizontal="left" vertical="center" wrapText="1"/>
    </xf>
    <xf numFmtId="0" fontId="8" fillId="0" borderId="0" xfId="0" applyFont="1" applyBorder="1" applyAlignment="1" applyProtection="1">
      <alignment vertical="center" wrapText="1" shrinkToFit="1"/>
    </xf>
    <xf numFmtId="0" fontId="15" fillId="0" borderId="0" xfId="0" applyFont="1" applyBorder="1" applyAlignment="1" applyProtection="1">
      <alignment vertical="center" wrapText="1" shrinkToFit="1"/>
    </xf>
    <xf numFmtId="0" fontId="8" fillId="0" borderId="0" xfId="0" applyFont="1" applyBorder="1" applyAlignment="1" applyProtection="1">
      <alignment vertical="center" wrapText="1"/>
    </xf>
    <xf numFmtId="0" fontId="8" fillId="0" borderId="0" xfId="0" applyFont="1" applyFill="1" applyBorder="1" applyAlignment="1" applyProtection="1">
      <alignment vertical="top" wrapText="1" shrinkToFit="1"/>
    </xf>
    <xf numFmtId="0" fontId="15" fillId="0" borderId="0" xfId="0" applyFont="1" applyAlignment="1" applyProtection="1">
      <alignment vertical="top" wrapText="1"/>
    </xf>
    <xf numFmtId="0" fontId="8" fillId="0" borderId="1" xfId="0" applyFont="1" applyBorder="1" applyAlignment="1" applyProtection="1">
      <alignment horizontal="center" vertical="center" wrapText="1"/>
    </xf>
    <xf numFmtId="0" fontId="8" fillId="0" borderId="1" xfId="0" applyFont="1" applyBorder="1" applyAlignment="1" applyProtection="1">
      <alignment vertical="center" wrapText="1"/>
    </xf>
    <xf numFmtId="0" fontId="15" fillId="0" borderId="1" xfId="0" applyFont="1" applyFill="1" applyBorder="1" applyAlignment="1" applyProtection="1">
      <alignment horizontal="center" vertical="center" wrapText="1"/>
    </xf>
    <xf numFmtId="0" fontId="15" fillId="0" borderId="0" xfId="0" applyFont="1" applyAlignment="1" applyProtection="1">
      <alignment horizontal="left" vertical="center" wrapText="1"/>
    </xf>
    <xf numFmtId="0" fontId="15" fillId="0" borderId="0" xfId="0" applyFont="1" applyAlignment="1" applyProtection="1">
      <alignment vertical="center" wrapText="1"/>
      <protection locked="0"/>
    </xf>
    <xf numFmtId="185" fontId="25" fillId="0" borderId="1" xfId="0" applyNumberFormat="1" applyFont="1" applyFill="1" applyBorder="1" applyAlignment="1">
      <alignment vertical="center" shrinkToFit="1"/>
    </xf>
    <xf numFmtId="185" fontId="25" fillId="0" borderId="6" xfId="0" applyNumberFormat="1" applyFont="1" applyFill="1" applyBorder="1" applyAlignment="1">
      <alignment vertical="center" shrinkToFit="1"/>
    </xf>
    <xf numFmtId="185" fontId="25" fillId="2" borderId="1" xfId="0" applyNumberFormat="1" applyFont="1" applyFill="1" applyBorder="1" applyAlignment="1" applyProtection="1">
      <alignment vertical="center" shrinkToFit="1"/>
      <protection locked="0"/>
    </xf>
    <xf numFmtId="185" fontId="25" fillId="2" borderId="6" xfId="0" applyNumberFormat="1" applyFont="1" applyFill="1" applyBorder="1" applyAlignment="1" applyProtection="1">
      <alignment vertical="center" shrinkToFit="1"/>
      <protection locked="0"/>
    </xf>
    <xf numFmtId="205" fontId="28" fillId="2" borderId="1" xfId="0" applyNumberFormat="1" applyFont="1" applyFill="1" applyBorder="1" applyAlignment="1" applyProtection="1">
      <alignment horizontal="distributed" vertical="center" shrinkToFit="1"/>
      <protection locked="0"/>
    </xf>
    <xf numFmtId="0" fontId="8" fillId="0" borderId="1" xfId="0" applyFont="1" applyBorder="1" applyAlignment="1" applyProtection="1">
      <alignment vertical="center" wrapText="1" shrinkToFit="1"/>
    </xf>
    <xf numFmtId="0" fontId="8" fillId="2" borderId="1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28" fillId="0" borderId="1" xfId="0" applyFont="1" applyBorder="1" applyAlignment="1">
      <alignment horizontal="center" vertical="center" shrinkToFit="1"/>
    </xf>
    <xf numFmtId="0" fontId="0" fillId="0" borderId="1" xfId="0" applyBorder="1" applyAlignment="1">
      <alignment vertical="center"/>
    </xf>
    <xf numFmtId="199" fontId="28" fillId="2" borderId="2" xfId="0" applyNumberFormat="1"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198" fontId="28" fillId="0" borderId="2" xfId="0" applyNumberFormat="1" applyFont="1" applyBorder="1" applyAlignment="1">
      <alignment horizontal="right" vertical="center" shrinkToFit="1"/>
    </xf>
    <xf numFmtId="0" fontId="8" fillId="0" borderId="6" xfId="0" applyFont="1" applyBorder="1" applyAlignment="1" applyProtection="1">
      <alignment vertical="center" textRotation="255" wrapText="1"/>
    </xf>
    <xf numFmtId="0" fontId="6" fillId="0" borderId="20" xfId="0" applyFont="1" applyBorder="1" applyAlignment="1" applyProtection="1">
      <alignment vertical="center" textRotation="255" wrapText="1"/>
    </xf>
    <xf numFmtId="0" fontId="6" fillId="0" borderId="10" xfId="0" applyFont="1" applyBorder="1" applyAlignment="1" applyProtection="1">
      <alignment vertical="center" textRotation="255" wrapText="1"/>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8" fillId="0" borderId="2" xfId="0" applyFont="1" applyBorder="1" applyAlignment="1" applyProtection="1">
      <alignment horizontal="left" vertical="center"/>
    </xf>
    <xf numFmtId="0" fontId="15" fillId="0" borderId="3" xfId="0" applyFont="1" applyBorder="1" applyAlignment="1" applyProtection="1">
      <alignment horizontal="left" vertical="center"/>
    </xf>
    <xf numFmtId="0" fontId="15" fillId="0" borderId="4" xfId="0" applyFont="1" applyBorder="1" applyAlignment="1" applyProtection="1">
      <alignment horizontal="left" vertical="center"/>
    </xf>
    <xf numFmtId="0" fontId="8" fillId="0" borderId="2"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20" fillId="2" borderId="2" xfId="2" applyNumberForma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0" borderId="2" xfId="0" applyFont="1" applyBorder="1" applyAlignment="1" applyProtection="1">
      <alignment vertical="center" wrapText="1" shrinkToFit="1"/>
    </xf>
    <xf numFmtId="0" fontId="15" fillId="0" borderId="3" xfId="0" applyFont="1" applyBorder="1" applyAlignment="1" applyProtection="1">
      <alignment vertical="center" wrapText="1" shrinkToFit="1"/>
    </xf>
    <xf numFmtId="0" fontId="15" fillId="0" borderId="3" xfId="0" applyFont="1" applyBorder="1" applyAlignment="1" applyProtection="1">
      <alignment vertical="center" wrapText="1"/>
    </xf>
    <xf numFmtId="0" fontId="15" fillId="0" borderId="4" xfId="0" applyFont="1" applyBorder="1" applyAlignment="1" applyProtection="1">
      <alignment vertical="center" wrapText="1"/>
    </xf>
    <xf numFmtId="0" fontId="6" fillId="0" borderId="3" xfId="0" applyFont="1" applyBorder="1" applyAlignment="1" applyProtection="1">
      <alignment horizontal="center" vertical="center"/>
    </xf>
    <xf numFmtId="180" fontId="8" fillId="2" borderId="3" xfId="0" applyNumberFormat="1" applyFont="1" applyFill="1" applyBorder="1" applyAlignment="1" applyProtection="1">
      <alignment horizontal="center" vertical="center" shrinkToFit="1"/>
      <protection locked="0"/>
    </xf>
    <xf numFmtId="180" fontId="6" fillId="2" borderId="3" xfId="0" applyNumberFormat="1" applyFont="1" applyFill="1" applyBorder="1" applyAlignment="1" applyProtection="1">
      <alignment horizontal="center" vertical="center" shrinkToFit="1"/>
      <protection locked="0"/>
    </xf>
    <xf numFmtId="0" fontId="8" fillId="2" borderId="2"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4" xfId="0" applyFont="1" applyFill="1" applyBorder="1" applyAlignment="1" applyProtection="1">
      <alignment horizontal="left" vertical="center" wrapText="1"/>
      <protection locked="0"/>
    </xf>
    <xf numFmtId="0" fontId="8" fillId="0" borderId="0" xfId="0" applyFont="1" applyBorder="1" applyAlignment="1" applyProtection="1">
      <alignment vertical="center" wrapText="1" shrinkToFit="1"/>
    </xf>
    <xf numFmtId="0" fontId="15" fillId="0" borderId="0" xfId="0" applyFont="1" applyBorder="1" applyAlignment="1" applyProtection="1">
      <alignment vertical="center" wrapText="1" shrinkToFit="1"/>
    </xf>
    <xf numFmtId="0" fontId="8" fillId="0" borderId="0" xfId="0" applyFont="1" applyBorder="1" applyAlignment="1" applyProtection="1">
      <alignment horizontal="left" vertical="center" wrapText="1"/>
    </xf>
    <xf numFmtId="0" fontId="8" fillId="0" borderId="0" xfId="0" applyFont="1" applyBorder="1" applyAlignment="1" applyProtection="1">
      <alignment vertical="center" wrapText="1"/>
    </xf>
    <xf numFmtId="0" fontId="15" fillId="0" borderId="0" xfId="0" applyFont="1" applyBorder="1" applyAlignment="1" applyProtection="1">
      <alignment vertical="center" wrapText="1"/>
    </xf>
    <xf numFmtId="0" fontId="8" fillId="0" borderId="3" xfId="0" applyFont="1" applyBorder="1" applyAlignment="1" applyProtection="1">
      <alignment vertical="center" wrapText="1" shrinkToFit="1"/>
    </xf>
    <xf numFmtId="0" fontId="8" fillId="0" borderId="4" xfId="0" applyFont="1" applyBorder="1" applyAlignment="1" applyProtection="1">
      <alignment vertical="center" wrapText="1" shrinkToFi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2" xfId="0" applyFont="1" applyBorder="1" applyAlignment="1" applyProtection="1">
      <alignment vertical="center" wrapText="1"/>
    </xf>
    <xf numFmtId="0" fontId="8" fillId="0" borderId="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8" fillId="0" borderId="1" xfId="0" applyFont="1" applyBorder="1" applyAlignment="1" applyProtection="1">
      <alignment vertical="center" wrapText="1" shrinkToFit="1"/>
    </xf>
    <xf numFmtId="0" fontId="15" fillId="0" borderId="1" xfId="0" applyFont="1" applyBorder="1" applyAlignment="1" applyProtection="1">
      <alignment vertical="center" wrapText="1" shrinkToFit="1"/>
    </xf>
    <xf numFmtId="0" fontId="0" fillId="0" borderId="3" xfId="0" applyBorder="1" applyAlignment="1" applyProtection="1">
      <alignment vertical="center" wrapText="1"/>
    </xf>
    <xf numFmtId="0" fontId="0" fillId="0" borderId="4" xfId="0" applyBorder="1" applyAlignment="1" applyProtection="1">
      <alignment vertical="center" wrapText="1"/>
    </xf>
    <xf numFmtId="0" fontId="21" fillId="0" borderId="2" xfId="0" applyFont="1" applyBorder="1" applyAlignment="1" applyProtection="1">
      <alignment horizontal="center" vertical="center" wrapText="1"/>
    </xf>
    <xf numFmtId="0" fontId="21" fillId="0" borderId="3"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8" fillId="0" borderId="2"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4" xfId="0" applyFont="1" applyFill="1" applyBorder="1" applyAlignment="1" applyProtection="1">
      <alignment vertical="center" wrapText="1"/>
    </xf>
    <xf numFmtId="0" fontId="8" fillId="0" borderId="6" xfId="0" applyFont="1" applyBorder="1" applyAlignment="1" applyProtection="1">
      <alignment vertical="center" wrapText="1" shrinkToFit="1"/>
    </xf>
    <xf numFmtId="0" fontId="0" fillId="0" borderId="20" xfId="0" applyBorder="1" applyAlignment="1" applyProtection="1">
      <alignment vertical="center" wrapText="1"/>
    </xf>
    <xf numFmtId="0" fontId="0" fillId="0" borderId="10" xfId="0" applyBorder="1" applyAlignment="1" applyProtection="1">
      <alignment vertical="center" wrapText="1"/>
    </xf>
    <xf numFmtId="0" fontId="8" fillId="2" borderId="20" xfId="0" applyFont="1" applyFill="1" applyBorder="1" applyAlignment="1" applyProtection="1">
      <alignment horizontal="left" vertical="center" wrapText="1"/>
    </xf>
    <xf numFmtId="0" fontId="8" fillId="2" borderId="10" xfId="0"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15" fillId="0" borderId="1" xfId="0" applyFont="1" applyBorder="1" applyAlignment="1" applyProtection="1">
      <alignment vertical="center" wrapText="1"/>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182" fontId="8" fillId="2" borderId="2" xfId="0" applyNumberFormat="1" applyFont="1" applyFill="1" applyBorder="1" applyAlignment="1" applyProtection="1">
      <alignment horizontal="left" vertical="center"/>
      <protection locked="0"/>
    </xf>
    <xf numFmtId="182" fontId="15" fillId="2" borderId="3" xfId="0" applyNumberFormat="1" applyFont="1" applyFill="1" applyBorder="1" applyAlignment="1" applyProtection="1">
      <alignment horizontal="left" vertical="center"/>
      <protection locked="0"/>
    </xf>
    <xf numFmtId="182" fontId="15" fillId="2" borderId="4" xfId="0" applyNumberFormat="1" applyFont="1" applyFill="1" applyBorder="1" applyAlignment="1" applyProtection="1">
      <alignment horizontal="left" vertical="center"/>
      <protection locked="0"/>
    </xf>
    <xf numFmtId="0" fontId="8" fillId="0" borderId="2" xfId="0" applyFont="1" applyBorder="1" applyAlignment="1" applyProtection="1">
      <alignment vertical="center" shrinkToFit="1"/>
    </xf>
    <xf numFmtId="0" fontId="15" fillId="0" borderId="3" xfId="0" applyFont="1" applyBorder="1" applyAlignment="1" applyProtection="1">
      <alignment vertical="center"/>
    </xf>
    <xf numFmtId="0" fontId="15" fillId="0" borderId="4" xfId="0" applyFont="1" applyBorder="1" applyAlignment="1" applyProtection="1">
      <alignment vertical="center"/>
    </xf>
    <xf numFmtId="0" fontId="8" fillId="2" borderId="6" xfId="0" applyFont="1" applyFill="1" applyBorder="1" applyAlignment="1" applyProtection="1">
      <alignment horizontal="left" vertical="center" wrapText="1"/>
    </xf>
    <xf numFmtId="0" fontId="8" fillId="0" borderId="6"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3" xfId="0" applyFont="1" applyBorder="1" applyAlignment="1" applyProtection="1">
      <alignment vertical="center" wrapText="1" shrinkToFit="1"/>
    </xf>
    <xf numFmtId="0" fontId="8" fillId="0" borderId="5" xfId="0" applyFont="1" applyBorder="1" applyAlignment="1" applyProtection="1">
      <alignment vertical="center" wrapText="1" shrinkToFit="1"/>
    </xf>
    <xf numFmtId="0" fontId="8" fillId="0" borderId="14" xfId="0" applyFont="1" applyBorder="1" applyAlignment="1" applyProtection="1">
      <alignment vertical="center" wrapText="1" shrinkToFit="1"/>
    </xf>
    <xf numFmtId="0" fontId="8" fillId="0" borderId="15" xfId="0" applyFont="1" applyBorder="1" applyAlignment="1" applyProtection="1">
      <alignment vertical="center" wrapText="1" shrinkToFit="1"/>
    </xf>
    <xf numFmtId="0" fontId="8" fillId="0" borderId="16" xfId="0" applyFont="1" applyBorder="1" applyAlignment="1" applyProtection="1">
      <alignment vertical="center" wrapText="1" shrinkToFit="1"/>
    </xf>
    <xf numFmtId="0" fontId="8" fillId="0" borderId="7" xfId="0" applyFont="1" applyBorder="1" applyAlignment="1" applyProtection="1">
      <alignment vertical="center" wrapText="1" shrinkToFit="1"/>
    </xf>
    <xf numFmtId="0" fontId="8" fillId="0" borderId="8" xfId="0" applyFont="1" applyBorder="1" applyAlignment="1" applyProtection="1">
      <alignment vertical="center" wrapText="1" shrinkToFit="1"/>
    </xf>
    <xf numFmtId="0" fontId="8" fillId="0" borderId="9" xfId="0" applyFont="1" applyBorder="1" applyAlignment="1" applyProtection="1">
      <alignment vertical="center" wrapText="1" shrinkToFit="1"/>
    </xf>
    <xf numFmtId="0" fontId="16" fillId="0" borderId="2" xfId="0" applyFont="1" applyBorder="1" applyAlignment="1" applyProtection="1">
      <alignment horizontal="left" vertical="center" wrapText="1" shrinkToFit="1"/>
    </xf>
    <xf numFmtId="0" fontId="15" fillId="0" borderId="3" xfId="0" applyFont="1" applyBorder="1" applyAlignment="1" applyProtection="1">
      <alignment horizontal="left" vertical="center" wrapText="1" shrinkToFit="1"/>
    </xf>
    <xf numFmtId="0" fontId="15" fillId="0" borderId="4" xfId="0" applyFont="1" applyBorder="1" applyAlignment="1" applyProtection="1">
      <alignment horizontal="left" vertical="center" wrapText="1" shrinkToFit="1"/>
    </xf>
    <xf numFmtId="0" fontId="8" fillId="0" borderId="2" xfId="0" applyFont="1" applyBorder="1" applyAlignment="1" applyProtection="1">
      <alignment horizontal="left" vertical="center" wrapText="1" shrinkToFit="1"/>
    </xf>
    <xf numFmtId="0" fontId="8" fillId="0" borderId="13" xfId="0" applyFont="1" applyBorder="1" applyAlignment="1" applyProtection="1">
      <alignment horizontal="center" vertical="center" wrapText="1" shrinkToFit="1"/>
    </xf>
    <xf numFmtId="0" fontId="15" fillId="0" borderId="5" xfId="0" applyFont="1" applyBorder="1" applyAlignment="1" applyProtection="1">
      <alignment horizontal="center" vertical="center" shrinkToFit="1"/>
    </xf>
    <xf numFmtId="0" fontId="15" fillId="0" borderId="14" xfId="0" applyFont="1" applyBorder="1" applyAlignment="1" applyProtection="1">
      <alignment horizontal="center" vertical="center" shrinkToFit="1"/>
    </xf>
    <xf numFmtId="0" fontId="15" fillId="0" borderId="7" xfId="0" applyFont="1" applyBorder="1" applyAlignment="1" applyProtection="1">
      <alignment horizontal="center" vertical="center" shrinkToFit="1"/>
    </xf>
    <xf numFmtId="0" fontId="15" fillId="0" borderId="8" xfId="0" applyFont="1" applyBorder="1" applyAlignment="1" applyProtection="1">
      <alignment horizontal="center" vertical="center" shrinkToFit="1"/>
    </xf>
    <xf numFmtId="0" fontId="15" fillId="0" borderId="9" xfId="0" applyFont="1" applyBorder="1" applyAlignment="1" applyProtection="1">
      <alignment horizontal="center" vertical="center" shrinkToFit="1"/>
    </xf>
    <xf numFmtId="0" fontId="8" fillId="0" borderId="17" xfId="0" applyFont="1" applyFill="1" applyBorder="1" applyAlignment="1" applyProtection="1">
      <alignment horizontal="center" vertical="center" wrapText="1"/>
    </xf>
    <xf numFmtId="0" fontId="15" fillId="0" borderId="18" xfId="0" applyFont="1" applyFill="1" applyBorder="1" applyAlignment="1" applyProtection="1">
      <alignment horizontal="center" vertical="center" wrapText="1"/>
    </xf>
    <xf numFmtId="0" fontId="8" fillId="0" borderId="1" xfId="0" applyFont="1" applyBorder="1" applyAlignment="1" applyProtection="1">
      <alignment horizontal="left" vertical="center" wrapText="1" shrinkToFit="1"/>
    </xf>
    <xf numFmtId="0" fontId="8" fillId="2" borderId="15"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6"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7" fillId="0" borderId="8" xfId="0" applyFont="1" applyBorder="1" applyAlignment="1" applyProtection="1">
      <alignment vertical="center" wrapText="1"/>
    </xf>
    <xf numFmtId="0" fontId="8" fillId="0" borderId="2" xfId="0" applyFont="1" applyFill="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8" fillId="2" borderId="13" xfId="0" applyFont="1" applyFill="1" applyBorder="1" applyAlignment="1" applyProtection="1">
      <alignment horizontal="left" vertical="center" wrapText="1"/>
    </xf>
    <xf numFmtId="0" fontId="15" fillId="2" borderId="5"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15" fillId="0" borderId="2" xfId="0" applyFont="1" applyBorder="1" applyAlignment="1" applyProtection="1">
      <alignment horizontal="left" vertical="center" wrapText="1" shrinkToFit="1"/>
    </xf>
    <xf numFmtId="0" fontId="15" fillId="0" borderId="6" xfId="0" applyFont="1" applyBorder="1" applyAlignment="1" applyProtection="1">
      <alignment vertical="center" textRotation="255" wrapText="1"/>
    </xf>
    <xf numFmtId="0" fontId="0" fillId="0" borderId="20" xfId="0" applyBorder="1" applyAlignment="1" applyProtection="1">
      <alignment vertical="center" textRotation="255" wrapText="1"/>
    </xf>
    <xf numFmtId="0" fontId="0" fillId="0" borderId="10" xfId="0" applyBorder="1" applyAlignment="1" applyProtection="1">
      <alignment vertical="center" textRotation="255" wrapText="1"/>
    </xf>
    <xf numFmtId="0" fontId="8" fillId="0" borderId="17"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7" fillId="0" borderId="0" xfId="0" applyFont="1" applyFill="1" applyBorder="1" applyAlignment="1" applyProtection="1">
      <alignment vertical="center" wrapText="1" shrinkToFit="1"/>
    </xf>
    <xf numFmtId="0" fontId="10" fillId="0" borderId="0" xfId="0" applyFont="1" applyAlignment="1" applyProtection="1">
      <alignment vertical="center" wrapText="1"/>
    </xf>
    <xf numFmtId="0" fontId="8" fillId="0" borderId="3" xfId="0" applyFont="1" applyBorder="1" applyAlignment="1" applyProtection="1">
      <alignment vertical="center" wrapText="1"/>
    </xf>
    <xf numFmtId="0" fontId="8" fillId="0" borderId="4" xfId="0" applyFont="1" applyBorder="1" applyAlignment="1" applyProtection="1">
      <alignment vertical="center" wrapText="1"/>
    </xf>
    <xf numFmtId="0" fontId="8" fillId="0" borderId="1" xfId="0" applyFont="1" applyBorder="1" applyAlignment="1" applyProtection="1">
      <alignment horizontal="center" vertical="center" wrapText="1" shrinkToFit="1"/>
    </xf>
    <xf numFmtId="0" fontId="15" fillId="0" borderId="1" xfId="0" applyFont="1" applyBorder="1" applyAlignment="1" applyProtection="1">
      <alignment horizontal="center" vertical="center" wrapText="1" shrinkToFit="1"/>
    </xf>
    <xf numFmtId="0" fontId="11" fillId="0" borderId="0" xfId="0" applyFont="1" applyAlignment="1">
      <alignment horizontal="distributed" vertical="center"/>
    </xf>
    <xf numFmtId="0" fontId="14" fillId="0" borderId="0" xfId="0" applyFont="1" applyAlignment="1">
      <alignment horizontal="distributed" vertical="center"/>
    </xf>
    <xf numFmtId="0" fontId="7" fillId="0" borderId="0" xfId="0" applyFont="1" applyAlignment="1">
      <alignment vertical="center" shrinkToFit="1"/>
    </xf>
    <xf numFmtId="0" fontId="0" fillId="0" borderId="0" xfId="0" applyAlignment="1">
      <alignment vertical="center" shrinkToFit="1"/>
    </xf>
    <xf numFmtId="0" fontId="7"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vertical="center" wrapText="1"/>
    </xf>
    <xf numFmtId="0" fontId="10" fillId="0" borderId="0" xfId="0" applyFont="1" applyAlignment="1">
      <alignment vertical="center" wrapText="1"/>
    </xf>
    <xf numFmtId="201" fontId="7" fillId="0" borderId="0" xfId="0" applyNumberFormat="1" applyFont="1" applyAlignment="1">
      <alignment horizontal="distributed" vertical="center"/>
    </xf>
    <xf numFmtId="201" fontId="0" fillId="0" borderId="0" xfId="0" applyNumberFormat="1" applyAlignment="1">
      <alignment horizontal="distributed" vertical="center"/>
    </xf>
    <xf numFmtId="0" fontId="0" fillId="0" borderId="0" xfId="0" applyAlignment="1">
      <alignment horizontal="distributed" vertical="center"/>
    </xf>
    <xf numFmtId="0" fontId="12" fillId="0" borderId="0" xfId="0" applyFont="1" applyAlignment="1">
      <alignment horizontal="distributed" vertical="center"/>
    </xf>
    <xf numFmtId="0" fontId="11" fillId="0" borderId="0" xfId="0" applyFont="1" applyAlignment="1">
      <alignment horizontal="center" vertical="center" shrinkToFit="1"/>
    </xf>
    <xf numFmtId="200" fontId="32" fillId="8" borderId="0" xfId="5" applyNumberFormat="1" applyFont="1" applyFill="1" applyBorder="1" applyAlignment="1">
      <alignment horizontal="center" vertical="top" wrapText="1"/>
    </xf>
    <xf numFmtId="0" fontId="7" fillId="0" borderId="0" xfId="5" applyFont="1" applyAlignment="1" applyProtection="1">
      <alignment horizontal="distributed" shrinkToFit="1"/>
      <protection locked="0"/>
    </xf>
    <xf numFmtId="0" fontId="6" fillId="0" borderId="0" xfId="5" applyFont="1" applyAlignment="1" applyProtection="1">
      <alignment horizontal="distributed" shrinkToFit="1"/>
      <protection locked="0"/>
    </xf>
    <xf numFmtId="0" fontId="25" fillId="0" borderId="0" xfId="0" applyFont="1" applyAlignment="1">
      <alignment vertical="center" wrapText="1"/>
    </xf>
    <xf numFmtId="0" fontId="26"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6" fillId="0" borderId="13" xfId="0" applyFont="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176" fontId="7" fillId="2" borderId="1" xfId="0" applyNumberFormat="1" applyFont="1" applyFill="1" applyBorder="1" applyAlignment="1">
      <alignment vertical="center"/>
    </xf>
    <xf numFmtId="176" fontId="0" fillId="2" borderId="1" xfId="0" applyNumberFormat="1" applyFill="1" applyBorder="1" applyAlignment="1">
      <alignment vertical="center"/>
    </xf>
    <xf numFmtId="176" fontId="7" fillId="0" borderId="1" xfId="0" applyNumberFormat="1" applyFont="1" applyBorder="1" applyAlignment="1">
      <alignment vertical="center"/>
    </xf>
    <xf numFmtId="176" fontId="0" fillId="0" borderId="1" xfId="0" applyNumberFormat="1" applyBorder="1" applyAlignment="1">
      <alignment vertical="center"/>
    </xf>
    <xf numFmtId="176" fontId="7" fillId="0" borderId="6" xfId="0" applyNumberFormat="1" applyFont="1" applyBorder="1" applyAlignment="1">
      <alignment vertical="center"/>
    </xf>
    <xf numFmtId="176" fontId="0" fillId="0" borderId="6" xfId="0" applyNumberFormat="1" applyBorder="1" applyAlignment="1">
      <alignment vertical="center"/>
    </xf>
    <xf numFmtId="0" fontId="7" fillId="0" borderId="12" xfId="0" applyFont="1" applyBorder="1" applyAlignment="1">
      <alignment vertical="center" shrinkToFit="1"/>
    </xf>
    <xf numFmtId="0" fontId="0" fillId="0" borderId="12" xfId="0" applyBorder="1" applyAlignment="1">
      <alignment vertical="center" shrinkToFit="1"/>
    </xf>
    <xf numFmtId="0" fontId="7" fillId="0" borderId="11" xfId="0" applyFont="1" applyBorder="1" applyAlignment="1">
      <alignment horizontal="center" vertical="center"/>
    </xf>
    <xf numFmtId="0" fontId="0" fillId="0" borderId="11" xfId="0" applyBorder="1" applyAlignment="1">
      <alignment horizontal="center" vertical="center"/>
    </xf>
    <xf numFmtId="176" fontId="7" fillId="0" borderId="11" xfId="0" applyNumberFormat="1" applyFont="1" applyBorder="1" applyAlignment="1">
      <alignment vertical="center"/>
    </xf>
    <xf numFmtId="176" fontId="0" fillId="0" borderId="11" xfId="0" applyNumberFormat="1" applyBorder="1" applyAlignment="1">
      <alignment vertical="center"/>
    </xf>
    <xf numFmtId="0" fontId="7" fillId="0" borderId="11" xfId="0" applyFont="1" applyBorder="1" applyAlignment="1">
      <alignment vertical="center" shrinkToFit="1"/>
    </xf>
    <xf numFmtId="0" fontId="0" fillId="0" borderId="11" xfId="0" applyBorder="1" applyAlignment="1">
      <alignment vertical="center" shrinkToFit="1"/>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176" fontId="7" fillId="0" borderId="12" xfId="0" applyNumberFormat="1" applyFont="1" applyBorder="1" applyAlignment="1">
      <alignment vertical="center"/>
    </xf>
    <xf numFmtId="176" fontId="0" fillId="0" borderId="12" xfId="0" applyNumberFormat="1" applyBorder="1" applyAlignment="1">
      <alignment vertical="center"/>
    </xf>
    <xf numFmtId="0" fontId="7" fillId="0" borderId="1" xfId="0" applyFont="1" applyBorder="1" applyAlignment="1">
      <alignment horizontal="distributed" vertical="center"/>
    </xf>
    <xf numFmtId="0" fontId="0" fillId="0" borderId="1" xfId="0" applyBorder="1" applyAlignment="1">
      <alignment horizontal="distributed" vertical="center"/>
    </xf>
    <xf numFmtId="0" fontId="7" fillId="0" borderId="6" xfId="0" applyFont="1" applyBorder="1" applyAlignment="1">
      <alignment horizontal="distributed" vertical="center"/>
    </xf>
    <xf numFmtId="0" fontId="0" fillId="0" borderId="6" xfId="0" applyBorder="1" applyAlignment="1">
      <alignment horizontal="distributed" vertical="center"/>
    </xf>
    <xf numFmtId="0" fontId="7" fillId="0" borderId="1" xfId="0" applyFont="1" applyBorder="1" applyAlignment="1">
      <alignment vertical="center" textRotation="255" shrinkToFit="1"/>
    </xf>
    <xf numFmtId="0" fontId="0" fillId="0" borderId="1" xfId="0" applyBorder="1" applyAlignment="1">
      <alignment vertical="center" textRotation="255" shrinkToFit="1"/>
    </xf>
    <xf numFmtId="0" fontId="0" fillId="0" borderId="6" xfId="0" applyBorder="1" applyAlignment="1">
      <alignment vertical="center" textRotation="255" shrinkToFit="1"/>
    </xf>
    <xf numFmtId="0" fontId="7" fillId="0" borderId="12" xfId="0" applyFont="1" applyBorder="1" applyAlignment="1">
      <alignment horizontal="center" vertical="center"/>
    </xf>
    <xf numFmtId="0" fontId="0" fillId="0" borderId="12" xfId="0" applyBorder="1" applyAlignment="1">
      <alignment horizontal="center" vertical="center"/>
    </xf>
    <xf numFmtId="0" fontId="7" fillId="0" borderId="1" xfId="0" applyFont="1" applyBorder="1" applyAlignment="1">
      <alignment vertical="center" shrinkToFit="1"/>
    </xf>
    <xf numFmtId="0" fontId="0" fillId="0" borderId="1" xfId="0" applyBorder="1" applyAlignment="1">
      <alignment vertical="center" shrinkToFit="1"/>
    </xf>
    <xf numFmtId="0" fontId="7"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1" fillId="0" borderId="2" xfId="0" applyFont="1" applyBorder="1" applyAlignment="1">
      <alignment horizontal="distributed" vertical="center"/>
    </xf>
    <xf numFmtId="0" fontId="7" fillId="0" borderId="2" xfId="0" applyFont="1" applyBorder="1" applyAlignment="1">
      <alignment horizontal="distributed" vertical="center" shrinkToFit="1"/>
    </xf>
    <xf numFmtId="0" fontId="10" fillId="0" borderId="3" xfId="0" applyFont="1" applyBorder="1" applyAlignment="1">
      <alignment horizontal="distributed" vertical="center" shrinkToFit="1"/>
    </xf>
    <xf numFmtId="0" fontId="10" fillId="0" borderId="4" xfId="0" applyFont="1" applyBorder="1" applyAlignment="1">
      <alignment vertical="center" shrinkToFit="1"/>
    </xf>
    <xf numFmtId="0" fontId="8" fillId="0" borderId="0" xfId="0" applyFont="1" applyAlignment="1">
      <alignment vertical="center" shrinkToFit="1"/>
    </xf>
    <xf numFmtId="0" fontId="15" fillId="0" borderId="0" xfId="0" applyFont="1" applyAlignment="1">
      <alignment vertical="center" shrinkToFit="1"/>
    </xf>
    <xf numFmtId="0" fontId="0" fillId="0" borderId="0" xfId="0" applyBorder="1" applyAlignment="1">
      <alignment vertical="center" shrinkToFit="1"/>
    </xf>
    <xf numFmtId="0" fontId="25" fillId="0" borderId="12" xfId="0" applyFont="1" applyBorder="1" applyAlignment="1">
      <alignment horizontal="center" vertical="center" shrinkToFit="1"/>
    </xf>
    <xf numFmtId="0" fontId="26" fillId="0" borderId="10" xfId="0" applyFont="1" applyBorder="1" applyAlignment="1">
      <alignment horizontal="center" vertical="center" shrinkToFit="1"/>
    </xf>
    <xf numFmtId="0" fontId="25" fillId="0" borderId="6" xfId="0" applyFont="1" applyBorder="1" applyAlignment="1">
      <alignment horizontal="distributed" vertical="center" shrinkToFit="1"/>
    </xf>
    <xf numFmtId="0" fontId="26" fillId="0" borderId="10" xfId="0" applyFont="1" applyBorder="1" applyAlignment="1">
      <alignment vertical="center" shrinkToFit="1"/>
    </xf>
    <xf numFmtId="0" fontId="25" fillId="0" borderId="13" xfId="0" applyFont="1" applyBorder="1" applyAlignment="1">
      <alignment horizontal="left" vertical="center" shrinkToFit="1"/>
    </xf>
    <xf numFmtId="0" fontId="26" fillId="0" borderId="5" xfId="0" applyFont="1" applyBorder="1" applyAlignment="1">
      <alignment horizontal="left" vertical="center" shrinkToFit="1"/>
    </xf>
    <xf numFmtId="0" fontId="26" fillId="0" borderId="14" xfId="0" applyFont="1" applyBorder="1" applyAlignment="1">
      <alignment horizontal="left" vertical="center" shrinkToFit="1"/>
    </xf>
    <xf numFmtId="0" fontId="28" fillId="0" borderId="6" xfId="0" applyFont="1" applyBorder="1" applyAlignment="1">
      <alignment horizontal="distributed" vertical="center" shrinkToFit="1"/>
    </xf>
    <xf numFmtId="0" fontId="0" fillId="0" borderId="10" xfId="0" applyBorder="1" applyAlignment="1">
      <alignment vertical="center" shrinkToFit="1"/>
    </xf>
    <xf numFmtId="0" fontId="8" fillId="0" borderId="0" xfId="5" applyFont="1" applyAlignment="1">
      <alignment horizontal="center" vertical="top"/>
    </xf>
    <xf numFmtId="0" fontId="8" fillId="0" borderId="0" xfId="5" applyFont="1" applyFill="1" applyAlignment="1">
      <alignment vertical="top" shrinkToFit="1"/>
    </xf>
    <xf numFmtId="0" fontId="16" fillId="8" borderId="0" xfId="5" applyFont="1" applyFill="1" applyBorder="1" applyAlignment="1">
      <alignment horizontal="center" vertical="top"/>
    </xf>
    <xf numFmtId="0" fontId="8" fillId="0" borderId="0" xfId="5" applyFont="1" applyBorder="1" applyAlignment="1">
      <alignment vertical="top"/>
    </xf>
    <xf numFmtId="0" fontId="16" fillId="8" borderId="0" xfId="5" applyFont="1" applyFill="1" applyBorder="1" applyAlignment="1">
      <alignment vertical="top" wrapText="1" shrinkToFit="1"/>
    </xf>
    <xf numFmtId="0" fontId="16" fillId="8" borderId="0" xfId="5" applyFont="1" applyFill="1" applyBorder="1" applyAlignment="1">
      <alignment vertical="top" shrinkToFit="1"/>
    </xf>
    <xf numFmtId="0" fontId="8" fillId="0" borderId="0" xfId="5" applyFont="1" applyBorder="1" applyAlignment="1">
      <alignment vertical="top" wrapText="1"/>
    </xf>
    <xf numFmtId="179" fontId="8" fillId="0" borderId="0" xfId="5" applyNumberFormat="1" applyFont="1" applyAlignment="1">
      <alignment horizontal="distributed" vertical="top"/>
    </xf>
    <xf numFmtId="0" fontId="1" fillId="0" borderId="0" xfId="5" applyAlignment="1">
      <alignment horizontal="distributed" vertical="top"/>
    </xf>
    <xf numFmtId="0" fontId="8" fillId="0" borderId="0" xfId="5" applyFont="1" applyAlignment="1">
      <alignment horizontal="left" vertical="top"/>
    </xf>
    <xf numFmtId="0" fontId="8" fillId="0" borderId="0" xfId="5" applyFont="1" applyAlignment="1">
      <alignment horizontal="distributed" vertical="top"/>
    </xf>
    <xf numFmtId="0" fontId="16" fillId="8" borderId="0" xfId="5" applyFont="1" applyFill="1" applyBorder="1" applyAlignment="1">
      <alignment horizontal="center" vertical="top" shrinkToFit="1"/>
    </xf>
    <xf numFmtId="0" fontId="8" fillId="0" borderId="0" xfId="5" applyFont="1" applyAlignment="1">
      <alignment vertical="top"/>
    </xf>
    <xf numFmtId="201" fontId="8" fillId="0" borderId="0" xfId="5" applyNumberFormat="1" applyFont="1" applyAlignment="1">
      <alignment horizontal="distributed" vertical="top"/>
    </xf>
    <xf numFmtId="0" fontId="8" fillId="0" borderId="0" xfId="5" applyFont="1" applyAlignment="1">
      <alignment vertical="top" shrinkToFit="1"/>
    </xf>
    <xf numFmtId="0" fontId="8" fillId="0" borderId="0" xfId="5" applyFont="1" applyAlignment="1">
      <alignment horizontal="left" vertical="top" wrapText="1"/>
    </xf>
    <xf numFmtId="201" fontId="8" fillId="0" borderId="0" xfId="5" applyNumberFormat="1" applyFont="1" applyAlignment="1">
      <alignment horizontal="distributed" vertical="top" wrapText="1"/>
    </xf>
    <xf numFmtId="0" fontId="1" fillId="0" borderId="0" xfId="5" applyAlignment="1">
      <alignment horizontal="distributed" vertical="top" wrapText="1"/>
    </xf>
    <xf numFmtId="202" fontId="8" fillId="0" borderId="0" xfId="5" applyNumberFormat="1" applyFont="1" applyAlignment="1">
      <alignment horizontal="distributed" vertical="top"/>
    </xf>
    <xf numFmtId="0" fontId="8" fillId="0" borderId="0" xfId="5" applyFont="1" applyAlignment="1">
      <alignment vertical="top" wrapText="1"/>
    </xf>
    <xf numFmtId="0" fontId="8" fillId="0" borderId="0" xfId="5" applyFont="1" applyAlignment="1">
      <alignment horizontal="center" vertical="top" shrinkToFit="1"/>
    </xf>
    <xf numFmtId="0" fontId="23" fillId="0" borderId="0" xfId="5" applyFont="1" applyAlignment="1">
      <alignment vertical="center" wrapText="1"/>
    </xf>
    <xf numFmtId="0" fontId="29" fillId="0" borderId="1" xfId="5" applyFont="1" applyBorder="1" applyAlignment="1" applyProtection="1">
      <alignment horizontal="left"/>
    </xf>
    <xf numFmtId="0" fontId="18" fillId="0" borderId="1" xfId="5" applyFont="1" applyBorder="1" applyAlignment="1" applyProtection="1"/>
    <xf numFmtId="0" fontId="11" fillId="0" borderId="1" xfId="5" applyFont="1" applyBorder="1" applyAlignment="1" applyProtection="1">
      <alignment horizontal="center" vertical="center" shrinkToFit="1"/>
    </xf>
    <xf numFmtId="0" fontId="11" fillId="0" borderId="13" xfId="5" applyFont="1" applyFill="1" applyBorder="1" applyAlignment="1" applyProtection="1">
      <alignment horizontal="left" vertical="center" shrinkToFit="1"/>
    </xf>
    <xf numFmtId="0" fontId="11" fillId="0" borderId="5" xfId="5" applyFont="1" applyFill="1" applyBorder="1" applyAlignment="1" applyProtection="1">
      <alignment horizontal="left" vertical="center" shrinkToFit="1"/>
    </xf>
    <xf numFmtId="0" fontId="6" fillId="0" borderId="5" xfId="5" applyFont="1" applyBorder="1" applyAlignment="1" applyProtection="1">
      <alignment horizontal="left" vertical="center" shrinkToFit="1"/>
    </xf>
    <xf numFmtId="0" fontId="6" fillId="0" borderId="14" xfId="5" applyFont="1" applyBorder="1" applyAlignment="1" applyProtection="1">
      <alignment horizontal="left" vertical="center" shrinkToFit="1"/>
    </xf>
    <xf numFmtId="0" fontId="11" fillId="0" borderId="7" xfId="5" applyFont="1" applyFill="1" applyBorder="1" applyAlignment="1" applyProtection="1">
      <alignment horizontal="left" vertical="center" shrinkToFit="1"/>
    </xf>
    <xf numFmtId="0" fontId="11" fillId="0" borderId="8" xfId="5" applyFont="1" applyFill="1" applyBorder="1" applyAlignment="1" applyProtection="1">
      <alignment horizontal="left" vertical="center" shrinkToFit="1"/>
    </xf>
    <xf numFmtId="0" fontId="6" fillId="0" borderId="8" xfId="5" applyFont="1" applyBorder="1" applyAlignment="1" applyProtection="1">
      <alignment horizontal="left" vertical="center" shrinkToFit="1"/>
    </xf>
    <xf numFmtId="0" fontId="6" fillId="0" borderId="9" xfId="5" applyFont="1" applyBorder="1" applyAlignment="1" applyProtection="1">
      <alignment horizontal="left" vertical="center" shrinkToFit="1"/>
    </xf>
    <xf numFmtId="0" fontId="39" fillId="0" borderId="0" xfId="5" applyFont="1" applyAlignment="1" applyProtection="1">
      <alignment horizontal="center" vertical="center" wrapText="1"/>
    </xf>
    <xf numFmtId="0" fontId="39" fillId="0" borderId="0" xfId="5" applyFont="1" applyAlignment="1" applyProtection="1">
      <alignment horizontal="center" vertical="center"/>
    </xf>
    <xf numFmtId="0" fontId="11" fillId="0" borderId="1" xfId="5" applyFont="1" applyFill="1" applyBorder="1" applyAlignment="1" applyProtection="1">
      <alignment horizontal="left" vertical="center" wrapText="1" shrinkToFit="1"/>
    </xf>
    <xf numFmtId="0" fontId="41" fillId="0" borderId="3" xfId="5" applyFont="1" applyFill="1" applyBorder="1" applyAlignment="1" applyProtection="1">
      <alignment horizontal="center" vertical="center"/>
    </xf>
    <xf numFmtId="0" fontId="11" fillId="0" borderId="3" xfId="5" applyFont="1" applyFill="1" applyBorder="1" applyAlignment="1" applyProtection="1">
      <alignment horizontal="center" vertical="center"/>
    </xf>
    <xf numFmtId="0" fontId="11" fillId="0" borderId="4" xfId="5" applyFont="1" applyFill="1" applyBorder="1" applyAlignment="1" applyProtection="1">
      <alignment horizontal="center" vertical="center"/>
    </xf>
    <xf numFmtId="0" fontId="11" fillId="0" borderId="1" xfId="5" applyFont="1" applyFill="1" applyBorder="1" applyAlignment="1" applyProtection="1">
      <alignment horizontal="center" vertical="center" shrinkToFit="1"/>
    </xf>
    <xf numFmtId="0" fontId="11" fillId="0" borderId="1" xfId="5" applyFont="1" applyFill="1" applyBorder="1" applyAlignment="1" applyProtection="1">
      <alignment vertical="center" shrinkToFit="1"/>
    </xf>
    <xf numFmtId="0" fontId="40" fillId="0" borderId="1" xfId="2" applyFont="1" applyFill="1" applyBorder="1" applyAlignment="1" applyProtection="1">
      <alignment vertical="center" shrinkToFit="1"/>
    </xf>
    <xf numFmtId="0" fontId="11" fillId="0" borderId="0" xfId="5" applyFont="1" applyAlignment="1" applyProtection="1">
      <alignment shrinkToFit="1"/>
    </xf>
    <xf numFmtId="0" fontId="6" fillId="0" borderId="0" xfId="5" applyFont="1" applyAlignment="1" applyProtection="1">
      <alignment shrinkToFit="1"/>
    </xf>
    <xf numFmtId="0" fontId="6" fillId="0" borderId="0" xfId="5" applyFont="1" applyAlignment="1" applyProtection="1"/>
    <xf numFmtId="0" fontId="41" fillId="0" borderId="3" xfId="5" applyFont="1" applyFill="1" applyBorder="1" applyAlignment="1" applyProtection="1">
      <alignment horizontal="center" vertical="center" shrinkToFit="1"/>
    </xf>
    <xf numFmtId="0" fontId="11" fillId="0" borderId="3" xfId="5" applyFont="1" applyFill="1" applyBorder="1" applyAlignment="1" applyProtection="1">
      <alignment horizontal="center" vertical="center" shrinkToFit="1"/>
    </xf>
    <xf numFmtId="0" fontId="11" fillId="0" borderId="4" xfId="5" applyFont="1" applyFill="1" applyBorder="1" applyAlignment="1" applyProtection="1">
      <alignment horizontal="center" vertical="center" shrinkToFit="1"/>
    </xf>
    <xf numFmtId="0" fontId="11" fillId="0" borderId="3" xfId="5" applyFont="1" applyFill="1" applyBorder="1" applyAlignment="1" applyProtection="1">
      <alignment vertical="center" shrinkToFit="1"/>
    </xf>
    <xf numFmtId="0" fontId="11" fillId="0" borderId="3" xfId="5" applyFont="1" applyFill="1" applyBorder="1" applyAlignment="1" applyProtection="1">
      <alignment vertical="center"/>
    </xf>
    <xf numFmtId="0" fontId="41" fillId="0" borderId="3" xfId="5" applyFont="1" applyFill="1" applyBorder="1" applyAlignment="1" applyProtection="1">
      <alignment vertical="center" shrinkToFit="1"/>
    </xf>
    <xf numFmtId="0" fontId="11" fillId="0" borderId="2" xfId="5" applyFont="1" applyFill="1" applyBorder="1" applyAlignment="1" applyProtection="1">
      <alignment horizontal="center" vertical="center"/>
    </xf>
    <xf numFmtId="0" fontId="41" fillId="0" borderId="2" xfId="5" applyFont="1" applyFill="1" applyBorder="1" applyAlignment="1" applyProtection="1">
      <alignment vertical="center"/>
    </xf>
    <xf numFmtId="0" fontId="11" fillId="0" borderId="13" xfId="5" applyFont="1" applyFill="1" applyBorder="1" applyAlignment="1" applyProtection="1">
      <alignment vertical="center" shrinkToFit="1"/>
    </xf>
    <xf numFmtId="0" fontId="11" fillId="0" borderId="5" xfId="5" applyFont="1" applyFill="1" applyBorder="1" applyAlignment="1" applyProtection="1">
      <alignment vertical="center"/>
    </xf>
    <xf numFmtId="0" fontId="43" fillId="0" borderId="5" xfId="5" applyFont="1" applyBorder="1" applyAlignment="1" applyProtection="1">
      <alignment horizontal="left" vertical="center"/>
    </xf>
    <xf numFmtId="0" fontId="44" fillId="0" borderId="0" xfId="5" applyFont="1" applyBorder="1" applyAlignment="1" applyProtection="1">
      <alignment horizontal="left" vertical="center"/>
    </xf>
    <xf numFmtId="0" fontId="12" fillId="0" borderId="89" xfId="5" applyFont="1" applyBorder="1" applyAlignment="1" applyProtection="1">
      <alignment horizontal="center" vertical="center" wrapText="1"/>
    </xf>
    <xf numFmtId="0" fontId="12" fillId="0" borderId="90" xfId="5" applyFont="1" applyBorder="1" applyAlignment="1" applyProtection="1">
      <alignment horizontal="center" vertical="center"/>
    </xf>
    <xf numFmtId="0" fontId="12" fillId="0" borderId="91" xfId="5" applyFont="1" applyBorder="1" applyAlignment="1" applyProtection="1">
      <alignment horizontal="center" vertical="center"/>
    </xf>
    <xf numFmtId="0" fontId="12" fillId="0" borderId="51" xfId="5" applyFont="1" applyBorder="1" applyAlignment="1" applyProtection="1">
      <alignment horizontal="center" vertical="center"/>
    </xf>
    <xf numFmtId="0" fontId="12" fillId="0" borderId="0" xfId="5" applyFont="1" applyBorder="1" applyAlignment="1" applyProtection="1">
      <alignment horizontal="center" vertical="center"/>
    </xf>
    <xf numFmtId="0" fontId="12" fillId="0" borderId="92" xfId="5" applyFont="1" applyBorder="1" applyAlignment="1" applyProtection="1">
      <alignment horizontal="center" vertical="center"/>
    </xf>
    <xf numFmtId="0" fontId="12" fillId="0" borderId="93" xfId="5" applyFont="1" applyBorder="1" applyAlignment="1" applyProtection="1">
      <alignment horizontal="center" vertical="center"/>
    </xf>
    <xf numFmtId="0" fontId="12" fillId="0" borderId="94" xfId="5" applyFont="1" applyBorder="1" applyAlignment="1" applyProtection="1">
      <alignment horizontal="center" vertical="center"/>
    </xf>
    <xf numFmtId="0" fontId="12" fillId="0" borderId="95" xfId="5" applyFont="1" applyBorder="1" applyAlignment="1" applyProtection="1">
      <alignment horizontal="center" vertical="center"/>
    </xf>
    <xf numFmtId="0" fontId="11" fillId="0" borderId="6" xfId="5" applyFont="1" applyBorder="1" applyAlignment="1" applyProtection="1">
      <alignment horizontal="center" vertical="center" textRotation="255" shrinkToFit="1"/>
    </xf>
    <xf numFmtId="0" fontId="0" fillId="0" borderId="20" xfId="0" applyBorder="1" applyAlignment="1">
      <alignment vertical="center" shrinkToFit="1"/>
    </xf>
    <xf numFmtId="0" fontId="11" fillId="0" borderId="2" xfId="5" applyFont="1" applyFill="1" applyBorder="1" applyAlignment="1" applyProtection="1">
      <alignment horizontal="left" vertical="center" shrinkToFit="1"/>
    </xf>
    <xf numFmtId="0" fontId="11" fillId="0" borderId="3" xfId="5" applyFont="1" applyFill="1" applyBorder="1" applyAlignment="1" applyProtection="1">
      <alignment horizontal="left" vertical="center" shrinkToFit="1"/>
    </xf>
    <xf numFmtId="0" fontId="41" fillId="0" borderId="2" xfId="5" applyFont="1" applyFill="1" applyBorder="1" applyAlignment="1" applyProtection="1">
      <alignment horizontal="left" vertical="center" shrinkToFit="1"/>
    </xf>
    <xf numFmtId="0" fontId="6" fillId="0" borderId="3" xfId="5" applyFont="1" applyFill="1" applyBorder="1" applyAlignment="1" applyProtection="1">
      <alignment horizontal="left" vertical="center" shrinkToFit="1"/>
    </xf>
    <xf numFmtId="0" fontId="6" fillId="0" borderId="4" xfId="5" applyFont="1" applyFill="1" applyBorder="1" applyAlignment="1" applyProtection="1">
      <alignment horizontal="left" vertical="center" shrinkToFit="1"/>
    </xf>
    <xf numFmtId="0" fontId="11" fillId="0" borderId="2" xfId="5" applyFont="1" applyFill="1" applyBorder="1" applyAlignment="1" applyProtection="1">
      <alignment vertical="center" shrinkToFit="1"/>
    </xf>
    <xf numFmtId="0" fontId="6" fillId="0" borderId="3" xfId="5" applyFont="1" applyFill="1" applyBorder="1" applyAlignment="1" applyProtection="1">
      <alignment vertical="center"/>
    </xf>
    <xf numFmtId="0" fontId="41" fillId="0" borderId="4" xfId="5" applyFont="1" applyFill="1" applyBorder="1" applyAlignment="1" applyProtection="1">
      <alignment horizontal="center" vertical="center" shrinkToFit="1"/>
    </xf>
    <xf numFmtId="0" fontId="11" fillId="0" borderId="2" xfId="5" applyFont="1" applyFill="1" applyBorder="1" applyAlignment="1" applyProtection="1">
      <alignment horizontal="left" vertical="center" shrinkToFit="1"/>
      <protection locked="0"/>
    </xf>
    <xf numFmtId="0" fontId="6" fillId="0" borderId="3" xfId="5" applyFont="1" applyFill="1" applyBorder="1" applyAlignment="1" applyProtection="1">
      <alignment horizontal="left" vertical="center" shrinkToFit="1"/>
      <protection locked="0"/>
    </xf>
    <xf numFmtId="0" fontId="11" fillId="0" borderId="4" xfId="5" applyFont="1" applyFill="1" applyBorder="1" applyAlignment="1" applyProtection="1">
      <alignment vertical="center" shrinkToFit="1"/>
    </xf>
    <xf numFmtId="203" fontId="34" fillId="0" borderId="0" xfId="5" applyNumberFormat="1" applyFont="1" applyBorder="1" applyAlignment="1">
      <alignment horizontal="center" vertical="center"/>
    </xf>
    <xf numFmtId="0" fontId="0" fillId="0" borderId="0" xfId="0" applyAlignment="1">
      <alignment horizontal="center" vertical="center"/>
    </xf>
    <xf numFmtId="0" fontId="34" fillId="0" borderId="1" xfId="5" applyFont="1" applyBorder="1" applyAlignment="1">
      <alignment horizontal="distributed" vertical="center"/>
    </xf>
    <xf numFmtId="0" fontId="1" fillId="0" borderId="1" xfId="5" applyBorder="1" applyAlignment="1">
      <alignment horizontal="distributed" vertical="center"/>
    </xf>
    <xf numFmtId="0" fontId="34" fillId="0" borderId="1" xfId="5" applyFont="1" applyBorder="1" applyAlignment="1">
      <alignment horizontal="center" vertical="center"/>
    </xf>
    <xf numFmtId="0" fontId="1" fillId="0" borderId="1" xfId="5" applyBorder="1" applyAlignment="1">
      <alignment horizontal="center" vertical="center"/>
    </xf>
    <xf numFmtId="0" fontId="34" fillId="0" borderId="0" xfId="5" applyFont="1" applyAlignment="1">
      <alignment vertical="center"/>
    </xf>
    <xf numFmtId="0" fontId="1" fillId="0" borderId="0" xfId="5" applyAlignment="1">
      <alignment vertical="center"/>
    </xf>
    <xf numFmtId="0" fontId="34" fillId="0" borderId="0" xfId="5" applyFont="1" applyAlignment="1">
      <alignment horizontal="distributed" vertical="center" wrapText="1"/>
    </xf>
    <xf numFmtId="0" fontId="35" fillId="0" borderId="0" xfId="5" applyFont="1" applyAlignment="1">
      <alignment horizontal="distributed" vertical="center" wrapText="1"/>
    </xf>
    <xf numFmtId="0" fontId="35" fillId="0" borderId="0" xfId="5" applyFont="1" applyAlignment="1">
      <alignment vertical="center"/>
    </xf>
    <xf numFmtId="0" fontId="36" fillId="0" borderId="0" xfId="5" applyFont="1" applyAlignment="1">
      <alignment horizontal="center" vertical="center"/>
    </xf>
    <xf numFmtId="0" fontId="37" fillId="0" borderId="0" xfId="5" applyFont="1" applyAlignment="1">
      <alignment horizontal="center" vertical="center"/>
    </xf>
    <xf numFmtId="0" fontId="34" fillId="0" borderId="0" xfId="5" applyFont="1" applyAlignment="1">
      <alignment vertical="center" wrapText="1"/>
    </xf>
    <xf numFmtId="0" fontId="1" fillId="0" borderId="0" xfId="5" applyAlignment="1">
      <alignment vertical="center" wrapText="1"/>
    </xf>
    <xf numFmtId="0" fontId="34" fillId="0" borderId="0" xfId="5" applyFont="1" applyAlignment="1">
      <alignment horizontal="center" vertical="center"/>
    </xf>
    <xf numFmtId="0" fontId="1" fillId="0" borderId="0" xfId="5" applyAlignment="1">
      <alignment horizontal="center" vertical="center"/>
    </xf>
    <xf numFmtId="0" fontId="12" fillId="0" borderId="6" xfId="5" applyFont="1" applyBorder="1" applyAlignment="1">
      <alignment horizontal="center" vertical="center"/>
    </xf>
    <xf numFmtId="0" fontId="1" fillId="0" borderId="10" xfId="5" applyBorder="1" applyAlignment="1">
      <alignment horizontal="center" vertical="center"/>
    </xf>
    <xf numFmtId="0" fontId="12" fillId="0" borderId="6" xfId="5" applyFont="1" applyBorder="1" applyAlignment="1">
      <alignment horizontal="left" vertical="center" wrapText="1"/>
    </xf>
    <xf numFmtId="0" fontId="1" fillId="0" borderId="10" xfId="5" applyBorder="1" applyAlignment="1">
      <alignment horizontal="left" vertical="center" wrapText="1"/>
    </xf>
    <xf numFmtId="49" fontId="34" fillId="9" borderId="1" xfId="5" applyNumberFormat="1" applyFont="1" applyFill="1" applyBorder="1" applyAlignment="1" applyProtection="1">
      <alignment horizontal="center" vertical="center"/>
      <protection locked="0"/>
    </xf>
    <xf numFmtId="49" fontId="1" fillId="9" borderId="1" xfId="5" applyNumberFormat="1" applyFill="1" applyBorder="1" applyAlignment="1" applyProtection="1">
      <alignment horizontal="center" vertical="center"/>
      <protection locked="0"/>
    </xf>
    <xf numFmtId="0" fontId="6" fillId="0" borderId="21" xfId="4" applyFont="1" applyBorder="1" applyAlignment="1" applyProtection="1">
      <alignment horizontal="left" vertical="center" wrapText="1"/>
    </xf>
    <xf numFmtId="0" fontId="6" fillId="0" borderId="28" xfId="4" applyFont="1" applyBorder="1" applyAlignment="1" applyProtection="1">
      <alignment horizontal="left" vertical="center" wrapText="1"/>
    </xf>
    <xf numFmtId="0" fontId="2" fillId="0" borderId="28" xfId="4" applyBorder="1" applyAlignment="1" applyProtection="1">
      <alignment horizontal="left" vertical="center" wrapText="1"/>
    </xf>
    <xf numFmtId="0" fontId="2" fillId="0" borderId="49" xfId="4" applyBorder="1" applyAlignment="1" applyProtection="1">
      <alignment horizontal="left" vertical="center" wrapText="1"/>
    </xf>
    <xf numFmtId="0" fontId="6" fillId="0" borderId="22" xfId="4" applyFont="1" applyBorder="1" applyAlignment="1" applyProtection="1">
      <alignment horizontal="left" vertical="center" wrapText="1"/>
    </xf>
    <xf numFmtId="0" fontId="6" fillId="0" borderId="10" xfId="4" applyFont="1" applyBorder="1" applyAlignment="1" applyProtection="1">
      <alignment horizontal="left" vertical="center" wrapText="1"/>
    </xf>
    <xf numFmtId="0" fontId="6" fillId="0" borderId="72" xfId="4" applyFont="1" applyBorder="1" applyAlignment="1" applyProtection="1">
      <alignment horizontal="center" vertical="center" wrapText="1"/>
    </xf>
    <xf numFmtId="0" fontId="2" fillId="0" borderId="73" xfId="4" applyBorder="1" applyAlignment="1" applyProtection="1">
      <alignment horizontal="center" vertical="center" wrapText="1"/>
    </xf>
    <xf numFmtId="0" fontId="6" fillId="0" borderId="6" xfId="4" applyFont="1" applyBorder="1" applyAlignment="1" applyProtection="1">
      <alignment horizontal="left" vertical="center" wrapText="1"/>
    </xf>
    <xf numFmtId="0" fontId="6" fillId="0" borderId="0" xfId="4" applyFont="1" applyAlignment="1" applyProtection="1">
      <alignment horizontal="center" vertical="center" shrinkToFit="1"/>
    </xf>
    <xf numFmtId="0" fontId="0" fillId="0" borderId="0" xfId="0" applyAlignment="1">
      <alignment horizontal="center" vertical="center" shrinkToFit="1"/>
    </xf>
    <xf numFmtId="0" fontId="6" fillId="0" borderId="0" xfId="4" applyFont="1" applyAlignment="1" applyProtection="1">
      <alignment horizontal="center" vertical="center"/>
    </xf>
    <xf numFmtId="0" fontId="6" fillId="0" borderId="0" xfId="4" applyFont="1" applyBorder="1" applyAlignment="1" applyProtection="1">
      <alignment horizontal="center" vertical="center" shrinkToFit="1"/>
    </xf>
    <xf numFmtId="0" fontId="2" fillId="0" borderId="0" xfId="4" applyAlignment="1" applyProtection="1">
      <alignment horizontal="center" vertical="center" shrinkToFit="1"/>
    </xf>
    <xf numFmtId="179" fontId="6" fillId="0" borderId="8" xfId="4" applyNumberFormat="1" applyFont="1" applyFill="1" applyBorder="1" applyAlignment="1" applyProtection="1">
      <alignment horizontal="center" vertical="center"/>
    </xf>
    <xf numFmtId="0" fontId="6" fillId="0" borderId="74" xfId="4" applyFont="1" applyBorder="1" applyAlignment="1" applyProtection="1">
      <alignment horizontal="left" vertical="center" wrapText="1"/>
    </xf>
    <xf numFmtId="0" fontId="6" fillId="0" borderId="6" xfId="4" applyFont="1" applyBorder="1" applyAlignment="1" applyProtection="1">
      <alignment horizontal="left" vertical="center" shrinkToFit="1"/>
    </xf>
    <xf numFmtId="0" fontId="6" fillId="0" borderId="10" xfId="4" applyFont="1" applyBorder="1" applyAlignment="1" applyProtection="1">
      <alignment horizontal="left" vertical="center" shrinkToFit="1"/>
    </xf>
    <xf numFmtId="0" fontId="7" fillId="0" borderId="50" xfId="4" applyFont="1" applyBorder="1" applyAlignment="1" applyProtection="1">
      <alignment horizontal="center" vertical="center" wrapText="1"/>
    </xf>
    <xf numFmtId="0" fontId="2" fillId="0" borderId="51" xfId="4" applyBorder="1" applyAlignment="1" applyProtection="1">
      <alignment horizontal="center" vertical="center" wrapText="1"/>
    </xf>
    <xf numFmtId="0" fontId="2" fillId="0" borderId="52" xfId="4" applyBorder="1" applyAlignment="1" applyProtection="1">
      <alignment horizontal="center" vertical="center" wrapText="1"/>
    </xf>
    <xf numFmtId="0" fontId="7" fillId="0" borderId="13" xfId="4" applyFont="1" applyBorder="1" applyAlignment="1" applyProtection="1">
      <alignment horizontal="center" vertical="center" wrapText="1"/>
    </xf>
    <xf numFmtId="0" fontId="2" fillId="0" borderId="15" xfId="4" applyBorder="1" applyAlignment="1" applyProtection="1">
      <alignment horizontal="center" vertical="center" wrapText="1"/>
    </xf>
    <xf numFmtId="0" fontId="2" fillId="0" borderId="53" xfId="4" applyBorder="1" applyAlignment="1" applyProtection="1">
      <alignment horizontal="center" vertical="center" wrapText="1"/>
    </xf>
    <xf numFmtId="176" fontId="7" fillId="0" borderId="62" xfId="4" applyNumberFormat="1" applyFont="1" applyBorder="1" applyAlignment="1" applyProtection="1">
      <alignment vertical="center" shrinkToFit="1"/>
    </xf>
    <xf numFmtId="0" fontId="10" fillId="0" borderId="59" xfId="4" applyFont="1" applyBorder="1" applyAlignment="1" applyProtection="1">
      <alignment vertical="center" shrinkToFit="1"/>
    </xf>
    <xf numFmtId="0" fontId="10" fillId="0" borderId="63" xfId="4" applyFont="1" applyBorder="1" applyAlignment="1" applyProtection="1">
      <alignment vertical="center" shrinkToFit="1"/>
    </xf>
    <xf numFmtId="0" fontId="7" fillId="0" borderId="8" xfId="4" applyFont="1" applyBorder="1" applyAlignment="1" applyProtection="1">
      <alignment vertical="center"/>
    </xf>
    <xf numFmtId="0" fontId="7" fillId="0" borderId="4" xfId="4" applyFont="1" applyBorder="1" applyAlignment="1" applyProtection="1">
      <alignment vertical="center"/>
    </xf>
    <xf numFmtId="0" fontId="7" fillId="0" borderId="21" xfId="4" applyFont="1" applyBorder="1" applyAlignment="1" applyProtection="1">
      <alignment horizontal="center" vertical="center" wrapText="1"/>
    </xf>
    <xf numFmtId="0" fontId="2" fillId="0" borderId="28" xfId="4" applyBorder="1" applyAlignment="1" applyProtection="1">
      <alignment horizontal="center" vertical="center" wrapText="1"/>
    </xf>
    <xf numFmtId="0" fontId="2" fillId="0" borderId="49" xfId="4" applyBorder="1" applyAlignment="1" applyProtection="1">
      <alignment horizontal="center" vertical="center" wrapText="1"/>
    </xf>
    <xf numFmtId="0" fontId="7" fillId="6" borderId="1" xfId="4" applyFont="1" applyFill="1" applyBorder="1" applyAlignment="1" applyProtection="1">
      <alignment horizontal="center" vertical="center"/>
    </xf>
    <xf numFmtId="0" fontId="7" fillId="6" borderId="2" xfId="4" applyFont="1" applyFill="1" applyBorder="1" applyAlignment="1" applyProtection="1">
      <alignment horizontal="center" vertical="center"/>
    </xf>
    <xf numFmtId="0" fontId="7" fillId="6" borderId="3" xfId="4" applyFont="1" applyFill="1" applyBorder="1" applyAlignment="1" applyProtection="1">
      <alignment horizontal="center" vertical="center"/>
    </xf>
    <xf numFmtId="0" fontId="7" fillId="6" borderId="4" xfId="4" applyFont="1" applyFill="1" applyBorder="1" applyAlignment="1" applyProtection="1">
      <alignment horizontal="center" vertical="center"/>
    </xf>
    <xf numFmtId="0" fontId="7" fillId="0" borderId="0" xfId="4" applyFont="1" applyBorder="1" applyAlignment="1" applyProtection="1">
      <alignment horizontal="center" vertical="center" shrinkToFit="1"/>
    </xf>
    <xf numFmtId="0" fontId="10" fillId="0" borderId="8" xfId="4" applyFont="1" applyBorder="1" applyAlignment="1" applyProtection="1">
      <alignment horizontal="center" vertical="center" shrinkToFit="1"/>
    </xf>
    <xf numFmtId="0" fontId="7" fillId="6" borderId="1" xfId="4" applyFont="1" applyFill="1" applyBorder="1" applyAlignment="1" applyProtection="1">
      <alignment horizontal="center" vertical="center" wrapText="1"/>
    </xf>
    <xf numFmtId="0" fontId="7" fillId="0" borderId="6" xfId="4" applyFont="1" applyBorder="1" applyAlignment="1" applyProtection="1">
      <alignment horizontal="center" vertical="center" wrapText="1"/>
    </xf>
    <xf numFmtId="0" fontId="7" fillId="0" borderId="20" xfId="4" applyFont="1" applyBorder="1" applyAlignment="1" applyProtection="1">
      <alignment horizontal="center" vertical="center" wrapText="1"/>
    </xf>
    <xf numFmtId="0" fontId="10" fillId="0" borderId="20" xfId="4" applyFont="1" applyBorder="1" applyAlignment="1" applyProtection="1">
      <alignment horizontal="center" vertical="center" wrapText="1"/>
    </xf>
    <xf numFmtId="0" fontId="10" fillId="0" borderId="10" xfId="4" applyFont="1" applyBorder="1" applyAlignment="1" applyProtection="1">
      <alignment horizontal="center" vertical="center" wrapText="1"/>
    </xf>
    <xf numFmtId="0" fontId="7" fillId="6" borderId="2" xfId="4" applyFont="1" applyFill="1" applyBorder="1" applyAlignment="1" applyProtection="1">
      <alignment horizontal="center" vertical="center" wrapText="1"/>
    </xf>
    <xf numFmtId="0" fontId="7" fillId="6" borderId="3" xfId="4" applyFont="1" applyFill="1" applyBorder="1" applyAlignment="1" applyProtection="1">
      <alignment horizontal="center" vertical="center" wrapText="1"/>
    </xf>
    <xf numFmtId="0" fontId="11" fillId="0" borderId="0" xfId="4" applyFont="1" applyAlignment="1" applyProtection="1">
      <alignment horizontal="center" vertical="center"/>
    </xf>
    <xf numFmtId="0" fontId="14" fillId="0" borderId="0" xfId="4" applyFont="1" applyAlignment="1" applyProtection="1">
      <alignment vertical="center"/>
    </xf>
    <xf numFmtId="0" fontId="7" fillId="0" borderId="13" xfId="4" applyFont="1" applyBorder="1" applyAlignment="1" applyProtection="1">
      <alignment horizontal="center" vertical="center"/>
    </xf>
    <xf numFmtId="0" fontId="10" fillId="0" borderId="14" xfId="4" applyFont="1" applyBorder="1" applyAlignment="1" applyProtection="1">
      <alignment vertical="center"/>
    </xf>
    <xf numFmtId="0" fontId="10" fillId="0" borderId="7" xfId="4" applyFont="1" applyBorder="1" applyAlignment="1" applyProtection="1">
      <alignment vertical="center"/>
    </xf>
    <xf numFmtId="0" fontId="10" fillId="0" borderId="9" xfId="4" applyFont="1" applyBorder="1" applyAlignment="1" applyProtection="1">
      <alignment vertical="center"/>
    </xf>
    <xf numFmtId="0" fontId="7" fillId="0" borderId="6" xfId="4" applyFont="1" applyFill="1" applyBorder="1" applyAlignment="1" applyProtection="1">
      <alignment horizontal="center" vertical="center"/>
    </xf>
    <xf numFmtId="0" fontId="10" fillId="0" borderId="10" xfId="4" applyFont="1" applyBorder="1" applyAlignment="1" applyProtection="1">
      <alignment vertical="center"/>
    </xf>
    <xf numFmtId="0" fontId="7" fillId="0" borderId="6" xfId="4" applyFont="1" applyBorder="1" applyAlignment="1" applyProtection="1">
      <alignment horizontal="left" vertical="center" wrapText="1"/>
    </xf>
    <xf numFmtId="0" fontId="10" fillId="0" borderId="10" xfId="4" applyFont="1" applyBorder="1" applyAlignment="1" applyProtection="1">
      <alignment vertical="center" wrapText="1"/>
    </xf>
    <xf numFmtId="0" fontId="7" fillId="0" borderId="0" xfId="4" applyFont="1" applyAlignment="1" applyProtection="1">
      <alignment horizontal="center" vertical="center" shrinkToFit="1"/>
    </xf>
    <xf numFmtId="0" fontId="0" fillId="0" borderId="0" xfId="0" applyAlignment="1" applyProtection="1">
      <alignment horizontal="center" vertical="center" shrinkToFit="1"/>
    </xf>
    <xf numFmtId="0" fontId="18" fillId="0" borderId="1" xfId="7" applyFont="1" applyBorder="1" applyAlignment="1">
      <alignment horizontal="center" vertical="center"/>
    </xf>
    <xf numFmtId="0" fontId="1" fillId="0" borderId="1" xfId="5" applyBorder="1" applyAlignment="1">
      <alignment vertical="center"/>
    </xf>
    <xf numFmtId="0" fontId="47" fillId="0" borderId="0" xfId="7" applyFont="1" applyAlignment="1">
      <alignment horizontal="center" vertical="center"/>
    </xf>
    <xf numFmtId="0" fontId="46" fillId="0" borderId="1" xfId="7" applyFont="1" applyBorder="1" applyAlignment="1">
      <alignment horizontal="center" vertical="center"/>
    </xf>
    <xf numFmtId="0" fontId="18" fillId="0" borderId="6" xfId="7" applyFont="1" applyBorder="1" applyAlignment="1">
      <alignment horizontal="center" vertical="center"/>
    </xf>
    <xf numFmtId="0" fontId="1" fillId="0" borderId="20" xfId="5" applyBorder="1" applyAlignment="1">
      <alignment horizontal="center" vertical="center"/>
    </xf>
    <xf numFmtId="0" fontId="46" fillId="7" borderId="6" xfId="7" applyFont="1" applyFill="1" applyBorder="1" applyAlignment="1" applyProtection="1">
      <alignment vertical="center"/>
      <protection locked="0"/>
    </xf>
    <xf numFmtId="0" fontId="1" fillId="0" borderId="20" xfId="5" applyBorder="1" applyAlignment="1" applyProtection="1">
      <alignment vertical="center"/>
      <protection locked="0"/>
    </xf>
    <xf numFmtId="0" fontId="1" fillId="0" borderId="10" xfId="5" applyBorder="1" applyAlignment="1" applyProtection="1">
      <alignment vertical="center"/>
      <protection locked="0"/>
    </xf>
    <xf numFmtId="0" fontId="46" fillId="7" borderId="20" xfId="7" applyFont="1" applyFill="1" applyBorder="1" applyAlignment="1" applyProtection="1">
      <alignment vertical="center"/>
      <protection locked="0"/>
    </xf>
    <xf numFmtId="0" fontId="46" fillId="0" borderId="4" xfId="7" applyFont="1" applyBorder="1" applyAlignment="1">
      <alignment horizontal="center" vertical="center"/>
    </xf>
    <xf numFmtId="0" fontId="46" fillId="0" borderId="2" xfId="7" applyFont="1" applyBorder="1" applyAlignment="1">
      <alignment horizontal="center" vertical="center"/>
    </xf>
    <xf numFmtId="0" fontId="18" fillId="0" borderId="6" xfId="7" applyFont="1" applyBorder="1" applyAlignment="1">
      <alignment vertical="center" wrapText="1"/>
    </xf>
    <xf numFmtId="0" fontId="1" fillId="0" borderId="6" xfId="5" applyBorder="1" applyAlignment="1">
      <alignment vertical="center" wrapText="1"/>
    </xf>
    <xf numFmtId="0" fontId="1" fillId="0" borderId="20" xfId="5" applyBorder="1" applyAlignment="1">
      <alignment vertical="center" wrapText="1"/>
    </xf>
    <xf numFmtId="0" fontId="1" fillId="0" borderId="10" xfId="5" applyBorder="1" applyAlignment="1">
      <alignment vertical="center" wrapText="1"/>
    </xf>
    <xf numFmtId="204" fontId="46" fillId="0" borderId="0" xfId="7" applyNumberFormat="1" applyFont="1" applyAlignment="1">
      <alignment horizontal="distributed" vertical="center"/>
    </xf>
    <xf numFmtId="0" fontId="1" fillId="0" borderId="0" xfId="5" applyAlignment="1">
      <alignment horizontal="distributed" vertical="center"/>
    </xf>
    <xf numFmtId="0" fontId="6" fillId="0" borderId="5" xfId="0" applyFont="1" applyBorder="1" applyAlignment="1" applyProtection="1">
      <alignment horizontal="center" vertical="center"/>
    </xf>
    <xf numFmtId="0" fontId="0" fillId="0" borderId="8" xfId="0" applyBorder="1" applyAlignment="1" applyProtection="1">
      <alignment horizontal="center" vertical="center"/>
    </xf>
    <xf numFmtId="0" fontId="6" fillId="0" borderId="6" xfId="0" applyFont="1" applyBorder="1" applyAlignment="1" applyProtection="1">
      <alignment horizontal="center" vertical="center"/>
    </xf>
    <xf numFmtId="0" fontId="0" fillId="0" borderId="10" xfId="0" applyBorder="1" applyAlignment="1" applyProtection="1">
      <alignment horizontal="center" vertical="center"/>
    </xf>
    <xf numFmtId="0" fontId="6" fillId="0" borderId="5" xfId="0" applyFont="1" applyBorder="1" applyAlignment="1" applyProtection="1">
      <alignment vertical="center"/>
    </xf>
    <xf numFmtId="0" fontId="0" fillId="0" borderId="8" xfId="0" applyBorder="1" applyAlignment="1" applyProtection="1">
      <alignment vertical="center"/>
    </xf>
    <xf numFmtId="0" fontId="6"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6" fillId="0" borderId="1" xfId="0" applyFont="1" applyBorder="1" applyAlignment="1" applyProtection="1">
      <alignment vertical="center"/>
    </xf>
    <xf numFmtId="0" fontId="0" fillId="0" borderId="1" xfId="0" applyBorder="1" applyAlignment="1" applyProtection="1">
      <alignment vertical="center"/>
    </xf>
    <xf numFmtId="0" fontId="6" fillId="0" borderId="0" xfId="0" applyFont="1" applyAlignment="1" applyProtection="1">
      <alignment vertical="center" wrapText="1"/>
    </xf>
    <xf numFmtId="0" fontId="0" fillId="0" borderId="0" xfId="0" applyAlignment="1" applyProtection="1">
      <alignment vertical="center"/>
    </xf>
    <xf numFmtId="0" fontId="6" fillId="2" borderId="2" xfId="0" applyFont="1" applyFill="1" applyBorder="1" applyAlignment="1" applyProtection="1">
      <alignment vertical="top" wrapText="1"/>
      <protection locked="0"/>
    </xf>
    <xf numFmtId="0" fontId="17" fillId="2" borderId="3" xfId="0" applyFont="1" applyFill="1" applyBorder="1" applyAlignment="1" applyProtection="1">
      <alignment vertical="top" wrapText="1"/>
      <protection locked="0"/>
    </xf>
    <xf numFmtId="0" fontId="17" fillId="2" borderId="4" xfId="0" applyFont="1" applyFill="1" applyBorder="1" applyAlignment="1" applyProtection="1">
      <alignment vertical="top" wrapText="1"/>
      <protection locked="0"/>
    </xf>
    <xf numFmtId="0" fontId="6" fillId="3" borderId="2" xfId="0" applyFont="1" applyFill="1" applyBorder="1" applyAlignment="1" applyProtection="1">
      <alignment horizontal="center" vertical="center" shrinkToFit="1"/>
    </xf>
    <xf numFmtId="0" fontId="6" fillId="3" borderId="3" xfId="0"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shrinkToFit="1"/>
    </xf>
    <xf numFmtId="0" fontId="6" fillId="3" borderId="6" xfId="0" applyFont="1" applyFill="1" applyBorder="1" applyAlignment="1" applyProtection="1">
      <alignment horizontal="center" vertical="center" shrinkToFit="1"/>
    </xf>
    <xf numFmtId="0" fontId="6" fillId="3" borderId="10" xfId="0" applyFont="1" applyFill="1" applyBorder="1" applyAlignment="1" applyProtection="1">
      <alignment vertical="center" shrinkToFit="1"/>
    </xf>
    <xf numFmtId="0" fontId="11" fillId="0" borderId="13" xfId="0" applyFont="1" applyBorder="1" applyAlignment="1" applyProtection="1">
      <alignment horizontal="center" vertical="center" shrinkToFit="1"/>
    </xf>
    <xf numFmtId="0" fontId="14" fillId="0" borderId="5"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6" fillId="0" borderId="0" xfId="0" applyFont="1" applyAlignment="1" applyProtection="1">
      <alignment horizontal="center" vertical="center" shrinkToFit="1"/>
    </xf>
    <xf numFmtId="0" fontId="6" fillId="2" borderId="2" xfId="0" applyFont="1" applyFill="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3"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8" fillId="0" borderId="0" xfId="0" applyFont="1" applyAlignment="1" applyProtection="1">
      <alignment vertical="center" wrapText="1"/>
    </xf>
    <xf numFmtId="0" fontId="15" fillId="0" borderId="0" xfId="0" applyFont="1" applyAlignment="1" applyProtection="1">
      <alignment vertical="center" wrapText="1"/>
    </xf>
    <xf numFmtId="0" fontId="6" fillId="0" borderId="5" xfId="0" applyFont="1" applyBorder="1" applyAlignment="1" applyProtection="1">
      <alignment horizontal="right" vertical="center"/>
    </xf>
    <xf numFmtId="0" fontId="0" fillId="0" borderId="5" xfId="0" applyBorder="1" applyAlignment="1" applyProtection="1">
      <alignment horizontal="right" vertical="center"/>
    </xf>
    <xf numFmtId="183" fontId="6" fillId="0" borderId="0" xfId="3" applyNumberFormat="1" applyFont="1" applyAlignment="1" applyProtection="1">
      <alignment horizontal="center" vertical="center" shrinkToFit="1"/>
    </xf>
    <xf numFmtId="183" fontId="17" fillId="0" borderId="0" xfId="3" applyNumberFormat="1" applyFont="1" applyAlignment="1">
      <alignment horizontal="center" vertical="center" shrinkToFit="1"/>
    </xf>
    <xf numFmtId="0" fontId="6" fillId="0" borderId="1" xfId="3" applyFont="1" applyBorder="1" applyAlignment="1" applyProtection="1">
      <alignment horizontal="center" vertical="center" wrapText="1"/>
    </xf>
    <xf numFmtId="0" fontId="17" fillId="0" borderId="1" xfId="3" applyFont="1" applyBorder="1" applyAlignment="1">
      <alignment horizontal="center" vertical="center"/>
    </xf>
    <xf numFmtId="176" fontId="6" fillId="2" borderId="1" xfId="3" applyNumberFormat="1" applyFont="1" applyFill="1" applyBorder="1" applyAlignment="1" applyProtection="1">
      <alignment horizontal="right" vertical="center" wrapText="1"/>
      <protection locked="0"/>
    </xf>
    <xf numFmtId="176" fontId="17" fillId="2" borderId="1" xfId="3" applyNumberFormat="1" applyFont="1" applyFill="1" applyBorder="1" applyAlignment="1" applyProtection="1">
      <alignment horizontal="right" vertical="center"/>
      <protection locked="0"/>
    </xf>
    <xf numFmtId="186" fontId="6" fillId="0" borderId="1" xfId="3" applyNumberFormat="1" applyFont="1" applyBorder="1" applyAlignment="1" applyProtection="1">
      <alignment horizontal="right" vertical="center" wrapText="1"/>
    </xf>
    <xf numFmtId="186" fontId="17" fillId="0" borderId="1" xfId="3" applyNumberFormat="1" applyFont="1" applyBorder="1" applyAlignment="1">
      <alignment horizontal="right" vertical="center"/>
    </xf>
    <xf numFmtId="0" fontId="18" fillId="2" borderId="2" xfId="3" applyFont="1" applyFill="1" applyBorder="1" applyAlignment="1" applyProtection="1">
      <alignment horizontal="left" vertical="center" shrinkToFit="1"/>
      <protection locked="0"/>
    </xf>
    <xf numFmtId="0" fontId="17" fillId="2" borderId="3" xfId="3" applyFont="1" applyFill="1" applyBorder="1" applyAlignment="1" applyProtection="1">
      <alignment horizontal="left" vertical="center" shrinkToFit="1"/>
      <protection locked="0"/>
    </xf>
    <xf numFmtId="0" fontId="17" fillId="2" borderId="4" xfId="3" applyFont="1" applyFill="1" applyBorder="1" applyAlignment="1" applyProtection="1">
      <alignment horizontal="left" vertical="center" shrinkToFit="1"/>
      <protection locked="0"/>
    </xf>
    <xf numFmtId="176" fontId="6" fillId="0" borderId="2" xfId="3" applyNumberFormat="1" applyFont="1" applyBorder="1" applyAlignment="1" applyProtection="1">
      <alignment horizontal="right" vertical="center" shrinkToFit="1"/>
    </xf>
    <xf numFmtId="0" fontId="0" fillId="0" borderId="4" xfId="0" applyBorder="1" applyAlignment="1">
      <alignment horizontal="right" vertical="center" shrinkToFit="1"/>
    </xf>
    <xf numFmtId="0" fontId="18" fillId="0" borderId="0" xfId="3" applyFont="1" applyAlignment="1" applyProtection="1">
      <alignment horizontal="left" vertical="center" wrapText="1"/>
    </xf>
    <xf numFmtId="0" fontId="0" fillId="0" borderId="0" xfId="0" applyAlignment="1">
      <alignment horizontal="left" vertical="center" wrapText="1"/>
    </xf>
    <xf numFmtId="0" fontId="7" fillId="4" borderId="0" xfId="3" applyFont="1" applyFill="1" applyBorder="1" applyAlignment="1" applyProtection="1">
      <alignment horizontal="left" vertical="center"/>
    </xf>
    <xf numFmtId="0" fontId="10" fillId="4" borderId="0" xfId="3" applyFont="1" applyFill="1" applyBorder="1" applyAlignment="1">
      <alignment horizontal="left" vertical="center"/>
    </xf>
    <xf numFmtId="0" fontId="6" fillId="0" borderId="0" xfId="3" applyFont="1" applyAlignment="1" applyProtection="1">
      <alignment horizontal="left" vertical="center" wrapText="1"/>
    </xf>
    <xf numFmtId="0" fontId="17" fillId="0" borderId="0" xfId="3" applyFont="1" applyAlignment="1">
      <alignment horizontal="left" vertical="center" wrapText="1"/>
    </xf>
    <xf numFmtId="0" fontId="6" fillId="5" borderId="2" xfId="3" applyFont="1" applyFill="1" applyBorder="1" applyAlignment="1" applyProtection="1">
      <alignment horizontal="center" vertical="center" shrinkToFit="1"/>
    </xf>
    <xf numFmtId="0" fontId="17" fillId="0" borderId="3" xfId="3" applyFont="1" applyBorder="1" applyAlignment="1">
      <alignment horizontal="center" vertical="center" shrinkToFit="1"/>
    </xf>
    <xf numFmtId="0" fontId="17" fillId="0" borderId="4" xfId="3" applyFont="1" applyBorder="1" applyAlignment="1">
      <alignment horizontal="center" vertical="center" shrinkToFit="1"/>
    </xf>
    <xf numFmtId="0" fontId="6" fillId="0" borderId="15" xfId="3" applyFont="1" applyBorder="1" applyAlignment="1">
      <alignment vertical="center" wrapText="1"/>
    </xf>
    <xf numFmtId="0" fontId="6" fillId="0" borderId="0" xfId="3" applyFont="1" applyAlignment="1">
      <alignment vertical="center"/>
    </xf>
    <xf numFmtId="0" fontId="6" fillId="0" borderId="15" xfId="3" applyFont="1" applyBorder="1" applyAlignment="1">
      <alignment vertical="center"/>
    </xf>
    <xf numFmtId="0" fontId="6" fillId="0" borderId="6" xfId="3" applyFont="1" applyBorder="1" applyAlignment="1">
      <alignment horizontal="center" vertical="center"/>
    </xf>
    <xf numFmtId="0" fontId="6" fillId="0" borderId="10" xfId="3" applyFont="1" applyBorder="1" applyAlignment="1">
      <alignment horizontal="center" vertical="center"/>
    </xf>
    <xf numFmtId="0" fontId="6" fillId="0" borderId="6" xfId="3" applyFont="1" applyBorder="1" applyAlignment="1">
      <alignment vertical="center" wrapText="1"/>
    </xf>
    <xf numFmtId="0" fontId="6" fillId="0" borderId="10" xfId="3" applyFont="1" applyBorder="1" applyAlignment="1">
      <alignment vertical="center" wrapText="1"/>
    </xf>
    <xf numFmtId="0" fontId="23" fillId="0" borderId="15" xfId="3" applyFont="1" applyBorder="1" applyAlignment="1">
      <alignment vertical="center" wrapText="1"/>
    </xf>
    <xf numFmtId="0" fontId="24" fillId="0" borderId="0" xfId="3" applyFont="1" applyAlignment="1">
      <alignment vertical="center" wrapText="1"/>
    </xf>
    <xf numFmtId="0" fontId="24" fillId="0" borderId="15" xfId="3" applyFont="1" applyBorder="1" applyAlignment="1">
      <alignment vertical="center" wrapText="1"/>
    </xf>
    <xf numFmtId="0" fontId="8" fillId="0" borderId="0" xfId="0" applyFont="1" applyAlignment="1" applyProtection="1">
      <alignment vertical="center" wrapText="1"/>
      <protection locked="0"/>
    </xf>
    <xf numFmtId="0" fontId="15" fillId="0" borderId="0" xfId="0" applyFont="1" applyAlignment="1" applyProtection="1">
      <alignment vertical="center" wrapText="1"/>
      <protection locked="0"/>
    </xf>
  </cellXfs>
  <cellStyles count="8">
    <cellStyle name="ハイパーリンク" xfId="2" builtinId="8"/>
    <cellStyle name="桁区切り" xfId="1" builtinId="6"/>
    <cellStyle name="桁区切り 2" xfId="6" xr:uid="{00000000-0005-0000-0000-000002000000}"/>
    <cellStyle name="標準" xfId="0" builtinId="0"/>
    <cellStyle name="標準 2" xfId="3" xr:uid="{00000000-0005-0000-0000-000004000000}"/>
    <cellStyle name="標準 2 2" xfId="7" xr:uid="{00000000-0005-0000-0000-000005000000}"/>
    <cellStyle name="標準 3" xfId="4" xr:uid="{00000000-0005-0000-0000-000006000000}"/>
    <cellStyle name="標準 4" xfId="5" xr:uid="{00000000-0005-0000-0000-000007000000}"/>
  </cellStyles>
  <dxfs count="1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AF$3" lockText="1" noThreeD="1"/>
</file>

<file path=xl/ctrlProps/ctrlProp2.xml><?xml version="1.0" encoding="utf-8"?>
<formControlPr xmlns="http://schemas.microsoft.com/office/spreadsheetml/2009/9/main" objectType="CheckBox" fmlaLink="$AF$4" lockText="1" noThreeD="1"/>
</file>

<file path=xl/ctrlProps/ctrlProp3.xml><?xml version="1.0" encoding="utf-8"?>
<formControlPr xmlns="http://schemas.microsoft.com/office/spreadsheetml/2009/9/main" objectType="CheckBox" fmlaLink="$AF$5" lockText="1" noThreeD="1"/>
</file>

<file path=xl/ctrlProps/ctrlProp4.xml><?xml version="1.0" encoding="utf-8"?>
<formControlPr xmlns="http://schemas.microsoft.com/office/spreadsheetml/2009/9/main" objectType="CheckBox" fmlaLink="$AF$29" lockText="1" noThreeD="1"/>
</file>

<file path=xl/ctrlProps/ctrlProp5.xml><?xml version="1.0" encoding="utf-8"?>
<formControlPr xmlns="http://schemas.microsoft.com/office/spreadsheetml/2009/9/main" objectType="CheckBox" fmlaLink="$AF$30" lockText="1" noThreeD="1"/>
</file>

<file path=xl/ctrlProps/ctrlProp6.xml><?xml version="1.0" encoding="utf-8"?>
<formControlPr xmlns="http://schemas.microsoft.com/office/spreadsheetml/2009/9/main" objectType="CheckBox" fmlaLink="$AF$31" lockText="1" noThreeD="1"/>
</file>

<file path=xl/drawings/_rels/drawing10.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6.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8.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4.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6.emf"/></Relationships>
</file>

<file path=xl/drawings/_rels/drawing19.xml.rels><?xml version="1.0" encoding="UTF-8" standalone="yes"?>
<Relationships xmlns="http://schemas.openxmlformats.org/package/2006/relationships"><Relationship Id="rId1" Type="http://schemas.openxmlformats.org/officeDocument/2006/relationships/image" Target="../media/image38.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2.emf"/></Relationships>
</file>

<file path=xl/drawings/_rels/drawing21.xml.rels><?xml version="1.0" encoding="UTF-8" standalone="yes"?>
<Relationships xmlns="http://schemas.openxmlformats.org/package/2006/relationships"><Relationship Id="rId1" Type="http://schemas.openxmlformats.org/officeDocument/2006/relationships/image" Target="../media/image40.emf"/></Relationships>
</file>

<file path=xl/drawings/_rels/drawing22.xml.rels><?xml version="1.0" encoding="UTF-8" standalone="yes"?>
<Relationships xmlns="http://schemas.openxmlformats.org/package/2006/relationships"><Relationship Id="rId1" Type="http://schemas.openxmlformats.org/officeDocument/2006/relationships/image" Target="../media/image4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10.emf"/></Relationships>
</file>

<file path=xl/drawings/_rels/drawing8.xml.rels><?xml version="1.0" encoding="UTF-8" standalone="yes"?>
<Relationships xmlns="http://schemas.openxmlformats.org/package/2006/relationships"><Relationship Id="rId1" Type="http://schemas.openxmlformats.org/officeDocument/2006/relationships/image" Target="../media/image1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5.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9.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3.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5.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7.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9.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1.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88900</xdr:colOff>
          <xdr:row>2</xdr:row>
          <xdr:rowOff>31750</xdr:rowOff>
        </xdr:from>
        <xdr:to>
          <xdr:col>7</xdr:col>
          <xdr:colOff>304800</xdr:colOff>
          <xdr:row>2</xdr:row>
          <xdr:rowOff>336550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xdr:row>
          <xdr:rowOff>50800</xdr:rowOff>
        </xdr:from>
        <xdr:to>
          <xdr:col>7</xdr:col>
          <xdr:colOff>355600</xdr:colOff>
          <xdr:row>3</xdr:row>
          <xdr:rowOff>336550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xdr:row>
          <xdr:rowOff>19050</xdr:rowOff>
        </xdr:from>
        <xdr:to>
          <xdr:col>7</xdr:col>
          <xdr:colOff>431800</xdr:colOff>
          <xdr:row>4</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28</xdr:row>
          <xdr:rowOff>19050</xdr:rowOff>
        </xdr:from>
        <xdr:to>
          <xdr:col>8</xdr:col>
          <xdr:colOff>355600</xdr:colOff>
          <xdr:row>28</xdr:row>
          <xdr:rowOff>355600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28</xdr:row>
          <xdr:rowOff>361950</xdr:rowOff>
        </xdr:from>
        <xdr:to>
          <xdr:col>8</xdr:col>
          <xdr:colOff>355600</xdr:colOff>
          <xdr:row>29</xdr:row>
          <xdr:rowOff>361950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29</xdr:row>
          <xdr:rowOff>361950</xdr:rowOff>
        </xdr:from>
        <xdr:to>
          <xdr:col>8</xdr:col>
          <xdr:colOff>355600</xdr:colOff>
          <xdr:row>30</xdr:row>
          <xdr:rowOff>361950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23</xdr:col>
      <xdr:colOff>197112</xdr:colOff>
      <xdr:row>1</xdr:row>
      <xdr:rowOff>156105</xdr:rowOff>
    </xdr:from>
    <xdr:to>
      <xdr:col>31</xdr:col>
      <xdr:colOff>374649</xdr:colOff>
      <xdr:row>10</xdr:row>
      <xdr:rowOff>148167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18442779" y="346605"/>
          <a:ext cx="5194037" cy="272256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＜留意事項＞</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①</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「種類」欄はプルダウンリストから選択してください。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申請できる個人防護具の種類は、</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マスク、ゴーグル、ガウン、グローブ、キャップ、フェイスシールド</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令和</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日（診療・検査医療機関の指定を受けた日が</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日以降の場合は、指定日）から令和</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9</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日（または、診療・検査医療機関の指定取り下げ日）までの期間内に使用する分を申請してください。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②「単価（税抜）」欄と「単価（税込）」欄については、</a:t>
          </a:r>
          <a:r>
            <a:rPr kumimoji="1" lang="ja-JP" altLang="en-US" sz="1100">
              <a:solidFill>
                <a:srgbClr val="FF0000"/>
              </a:solidFill>
              <a:latin typeface="ＭＳ ゴシック" panose="020B0609070205080204" pitchFamily="49" charset="-128"/>
              <a:ea typeface="ＭＳ ゴシック" panose="020B0609070205080204" pitchFamily="49" charset="-128"/>
            </a:rPr>
            <a:t>どちらか一方を</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入力して下さい。（最終的に、</a:t>
          </a:r>
          <a:r>
            <a:rPr kumimoji="1" lang="ja-JP" altLang="en-US" sz="1100">
              <a:solidFill>
                <a:srgbClr val="FF0000"/>
              </a:solidFill>
              <a:latin typeface="ＭＳ ゴシック" panose="020B0609070205080204" pitchFamily="49" charset="-128"/>
              <a:ea typeface="ＭＳ ゴシック" panose="020B0609070205080204" pitchFamily="49" charset="-128"/>
            </a:rPr>
            <a:t>「金額（税込）」欄が、見積書等（発注・契約書、納品書、請求書、領収書など）と一致</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するようにしてください。）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③「添付書類番号」欄に番号を入力いただき、照合できるように、</a:t>
          </a:r>
          <a:r>
            <a:rPr kumimoji="1" lang="ja-JP" altLang="en-US" sz="1100">
              <a:solidFill>
                <a:srgbClr val="FF0000"/>
              </a:solidFill>
              <a:latin typeface="ＭＳ ゴシック" panose="020B0609070205080204" pitchFamily="49" charset="-128"/>
              <a:ea typeface="ＭＳ ゴシック" panose="020B0609070205080204" pitchFamily="49" charset="-128"/>
            </a:rPr>
            <a:t>各品目に対する見積書等（発注・契約書、納品書、請求書、領収書など）に番号を付記してください。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13</xdr:col>
          <xdr:colOff>44450</xdr:colOff>
          <xdr:row>11</xdr:row>
          <xdr:rowOff>3175</xdr:rowOff>
        </xdr:from>
        <xdr:to>
          <xdr:col>23</xdr:col>
          <xdr:colOff>160866</xdr:colOff>
          <xdr:row>112</xdr:row>
          <xdr:rowOff>3175</xdr:rowOff>
        </xdr:to>
        <xdr:pic>
          <xdr:nvPicPr>
            <xdr:cNvPr id="3" name="図 2">
              <a:extLst>
                <a:ext uri="{FF2B5EF4-FFF2-40B4-BE49-F238E27FC236}">
                  <a16:creationId xmlns:a16="http://schemas.microsoft.com/office/drawing/2014/main" id="{00000000-0008-0000-1000-000003000000}"/>
                </a:ext>
              </a:extLst>
            </xdr:cNvPr>
            <xdr:cNvPicPr>
              <a:picLocks noChangeAspect="1" noChangeArrowheads="1"/>
              <a:extLst>
                <a:ext uri="{84589F7E-364E-4C9E-8A38-B11213B215E9}">
                  <a14:cameraTool cellRange="$AC$12:$AF$112" spid="_x0000_s24912"/>
                </a:ext>
              </a:extLst>
            </xdr:cNvPicPr>
          </xdr:nvPicPr>
          <xdr:blipFill>
            <a:blip xmlns:r="http://schemas.openxmlformats.org/officeDocument/2006/relationships" r:embed="rId1"/>
            <a:srcRect/>
            <a:stretch>
              <a:fillRect/>
            </a:stretch>
          </xdr:blipFill>
          <xdr:spPr bwMode="auto">
            <a:xfrm>
              <a:off x="19752733" y="3940175"/>
              <a:ext cx="17102667" cy="25632833"/>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159204</xdr:colOff>
          <xdr:row>4</xdr:row>
          <xdr:rowOff>431347</xdr:rowOff>
        </xdr:from>
        <xdr:to>
          <xdr:col>23</xdr:col>
          <xdr:colOff>38554</xdr:colOff>
          <xdr:row>9</xdr:row>
          <xdr:rowOff>240847</xdr:rowOff>
        </xdr:to>
        <xdr:pic>
          <xdr:nvPicPr>
            <xdr:cNvPr id="4" name="図 3">
              <a:extLst>
                <a:ext uri="{FF2B5EF4-FFF2-40B4-BE49-F238E27FC236}">
                  <a16:creationId xmlns:a16="http://schemas.microsoft.com/office/drawing/2014/main" id="{00000000-0008-0000-1000-000004000000}"/>
                </a:ext>
              </a:extLst>
            </xdr:cNvPr>
            <xdr:cNvPicPr>
              <a:picLocks noChangeAspect="1" noChangeArrowheads="1"/>
              <a:extLst>
                <a:ext uri="{84589F7E-364E-4C9E-8A38-B11213B215E9}">
                  <a14:cameraTool cellRange="$AL$117:$AO$120" spid="_x0000_s24913"/>
                </a:ext>
              </a:extLst>
            </xdr:cNvPicPr>
          </xdr:nvPicPr>
          <xdr:blipFill>
            <a:blip xmlns:r="http://schemas.openxmlformats.org/officeDocument/2006/relationships" r:embed="rId2"/>
            <a:srcRect/>
            <a:stretch>
              <a:fillRect/>
            </a:stretch>
          </xdr:blipFill>
          <xdr:spPr bwMode="auto">
            <a:xfrm>
              <a:off x="9989004" y="1320347"/>
              <a:ext cx="8318500" cy="1524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4</xdr:row>
          <xdr:rowOff>352105</xdr:rowOff>
        </xdr:from>
        <xdr:to>
          <xdr:col>12</xdr:col>
          <xdr:colOff>144366</xdr:colOff>
          <xdr:row>7</xdr:row>
          <xdr:rowOff>209550</xdr:rowOff>
        </xdr:to>
        <xdr:pic>
          <xdr:nvPicPr>
            <xdr:cNvPr id="5" name="図 4">
              <a:extLst>
                <a:ext uri="{FF2B5EF4-FFF2-40B4-BE49-F238E27FC236}">
                  <a16:creationId xmlns:a16="http://schemas.microsoft.com/office/drawing/2014/main" id="{00000000-0008-0000-1000-000005000000}"/>
                </a:ext>
              </a:extLst>
            </xdr:cNvPr>
            <xdr:cNvPicPr>
              <a:picLocks noChangeAspect="1" noChangeArrowheads="1"/>
              <a:extLst>
                <a:ext uri="{84589F7E-364E-4C9E-8A38-B11213B215E9}">
                  <a14:cameraTool cellRange="$AQ$122:$AS$128" spid="_x0000_s24914"/>
                </a:ext>
              </a:extLst>
            </xdr:cNvPicPr>
          </xdr:nvPicPr>
          <xdr:blipFill>
            <a:blip xmlns:r="http://schemas.openxmlformats.org/officeDocument/2006/relationships" r:embed="rId3"/>
            <a:srcRect/>
            <a:stretch>
              <a:fillRect/>
            </a:stretch>
          </xdr:blipFill>
          <xdr:spPr bwMode="auto">
            <a:xfrm>
              <a:off x="7874000" y="1228405"/>
              <a:ext cx="1938241" cy="111474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10</xdr:col>
      <xdr:colOff>15875</xdr:colOff>
      <xdr:row>9</xdr:row>
      <xdr:rowOff>31750</xdr:rowOff>
    </xdr:from>
    <xdr:to>
      <xdr:col>12</xdr:col>
      <xdr:colOff>10583</xdr:colOff>
      <xdr:row>10</xdr:row>
      <xdr:rowOff>920751</xdr:rowOff>
    </xdr:to>
    <xdr:sp macro="" textlink="">
      <xdr:nvSpPr>
        <xdr:cNvPr id="6" name="吹き出し: 角を丸めた四角形 2">
          <a:extLst>
            <a:ext uri="{FF2B5EF4-FFF2-40B4-BE49-F238E27FC236}">
              <a16:creationId xmlns:a16="http://schemas.microsoft.com/office/drawing/2014/main" id="{00000000-0008-0000-1000-000006000000}"/>
            </a:ext>
          </a:extLst>
        </xdr:cNvPr>
        <xdr:cNvSpPr/>
      </xdr:nvSpPr>
      <xdr:spPr>
        <a:xfrm>
          <a:off x="7810500" y="2635250"/>
          <a:ext cx="1867958" cy="1206501"/>
        </a:xfrm>
        <a:prstGeom prst="wedgeRoundRectCallout">
          <a:avLst>
            <a:gd name="adj1" fmla="val -30384"/>
            <a:gd name="adj2" fmla="val 589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交付申請の際は見積書、カタログ等の提出は不要ですので必要情報が入力されると「－」が表示されます。</a:t>
          </a:r>
        </a:p>
      </xdr:txBody>
    </xdr:sp>
    <xdr:clientData/>
  </xdr:twoCellAnchor>
  <xdr:twoCellAnchor>
    <xdr:from>
      <xdr:col>6</xdr:col>
      <xdr:colOff>359833</xdr:colOff>
      <xdr:row>9</xdr:row>
      <xdr:rowOff>10583</xdr:rowOff>
    </xdr:from>
    <xdr:to>
      <xdr:col>7</xdr:col>
      <xdr:colOff>423333</xdr:colOff>
      <xdr:row>10</xdr:row>
      <xdr:rowOff>963083</xdr:rowOff>
    </xdr:to>
    <xdr:cxnSp macro="">
      <xdr:nvCxnSpPr>
        <xdr:cNvPr id="7" name="直線矢印コネクタ 6">
          <a:extLst>
            <a:ext uri="{FF2B5EF4-FFF2-40B4-BE49-F238E27FC236}">
              <a16:creationId xmlns:a16="http://schemas.microsoft.com/office/drawing/2014/main" id="{00000000-0008-0000-1000-000007000000}"/>
            </a:ext>
          </a:extLst>
        </xdr:cNvPr>
        <xdr:cNvCxnSpPr/>
      </xdr:nvCxnSpPr>
      <xdr:spPr>
        <a:xfrm flipH="1" flipV="1">
          <a:off x="4798483" y="2582333"/>
          <a:ext cx="606425" cy="1266825"/>
        </a:xfrm>
        <a:prstGeom prst="straightConnector1">
          <a:avLst/>
        </a:prstGeom>
        <a:ln w="28575">
          <a:solidFill>
            <a:srgbClr val="FFC000"/>
          </a:solidFill>
          <a:prstDash val="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100-000002000000}"/>
                </a:ext>
              </a:extLst>
            </xdr:cNvPr>
            <xdr:cNvPicPr>
              <a:picLocks noChangeAspect="1" noChangeArrowheads="1"/>
              <a:extLst>
                <a:ext uri="{84589F7E-364E-4C9E-8A38-B11213B215E9}">
                  <a14:cameraTool cellRange="$Y$1:$AB$75" spid="_x0000_s44099"/>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200-000002000000}"/>
                </a:ext>
              </a:extLst>
            </xdr:cNvPr>
            <xdr:cNvPicPr>
              <a:picLocks noChangeAspect="1" noChangeArrowheads="1"/>
              <a:extLst>
                <a:ext uri="{84589F7E-364E-4C9E-8A38-B11213B215E9}">
                  <a14:cameraTool cellRange="$Y$1:$AB$75" spid="_x0000_s46146"/>
                </a:ext>
              </a:extLst>
            </xdr:cNvPicPr>
          </xdr:nvPicPr>
          <xdr:blipFill>
            <a:blip xmlns:r="http://schemas.openxmlformats.org/officeDocument/2006/relationships" r:embed="rId1"/>
            <a:srcRect/>
            <a:stretch>
              <a:fillRect/>
            </a:stretch>
          </xdr:blipFill>
          <xdr:spPr bwMode="auto">
            <a:xfrm>
              <a:off x="11101388" y="52387"/>
              <a:ext cx="4298156" cy="1169193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300-000002000000}"/>
                </a:ext>
              </a:extLst>
            </xdr:cNvPr>
            <xdr:cNvPicPr>
              <a:picLocks noChangeAspect="1" noChangeArrowheads="1"/>
              <a:extLst>
                <a:ext uri="{84589F7E-364E-4C9E-8A38-B11213B215E9}">
                  <a14:cameraTool cellRange="$Y$1:$AB$75" spid="_x0000_s45123"/>
                </a:ext>
              </a:extLst>
            </xdr:cNvPicPr>
          </xdr:nvPicPr>
          <xdr:blipFill>
            <a:blip xmlns:r="http://schemas.openxmlformats.org/officeDocument/2006/relationships" r:embed="rId1"/>
            <a:srcRect/>
            <a:stretch>
              <a:fillRect/>
            </a:stretch>
          </xdr:blipFill>
          <xdr:spPr bwMode="auto">
            <a:xfrm>
              <a:off x="11101388" y="52387"/>
              <a:ext cx="4298156" cy="117157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400-000002000000}"/>
                </a:ext>
              </a:extLst>
            </xdr:cNvPr>
            <xdr:cNvPicPr>
              <a:picLocks noChangeAspect="1" noChangeArrowheads="1"/>
              <a:extLst>
                <a:ext uri="{84589F7E-364E-4C9E-8A38-B11213B215E9}">
                  <a14:cameraTool cellRange="$Y$1:$AB$75" spid="_x0000_s47168"/>
                </a:ext>
              </a:extLst>
            </xdr:cNvPicPr>
          </xdr:nvPicPr>
          <xdr:blipFill>
            <a:blip xmlns:r="http://schemas.openxmlformats.org/officeDocument/2006/relationships" r:embed="rId1"/>
            <a:srcRect/>
            <a:stretch>
              <a:fillRect/>
            </a:stretch>
          </xdr:blipFill>
          <xdr:spPr bwMode="auto">
            <a:xfrm>
              <a:off x="11101388" y="52387"/>
              <a:ext cx="4298156" cy="2096690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500-000002000000}"/>
                </a:ext>
              </a:extLst>
            </xdr:cNvPr>
            <xdr:cNvPicPr>
              <a:picLocks noChangeAspect="1" noChangeArrowheads="1"/>
              <a:extLst>
                <a:ext uri="{84589F7E-364E-4C9E-8A38-B11213B215E9}">
                  <a14:cameraTool cellRange="$Y$1:$AB$75" spid="_x0000_s48194"/>
                </a:ext>
              </a:extLst>
            </xdr:cNvPicPr>
          </xdr:nvPicPr>
          <xdr:blipFill>
            <a:blip xmlns:r="http://schemas.openxmlformats.org/officeDocument/2006/relationships" r:embed="rId1"/>
            <a:srcRect/>
            <a:stretch>
              <a:fillRect/>
            </a:stretch>
          </xdr:blipFill>
          <xdr:spPr bwMode="auto">
            <a:xfrm>
              <a:off x="11101388" y="52387"/>
              <a:ext cx="4298156" cy="1194196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600-000002000000}"/>
                </a:ext>
              </a:extLst>
            </xdr:cNvPr>
            <xdr:cNvPicPr>
              <a:picLocks noChangeAspect="1" noChangeArrowheads="1"/>
              <a:extLst>
                <a:ext uri="{84589F7E-364E-4C9E-8A38-B11213B215E9}">
                  <a14:cameraTool cellRange="$Y$1:$AB$75" spid="_x0000_s49217"/>
                </a:ext>
              </a:extLst>
            </xdr:cNvPicPr>
          </xdr:nvPicPr>
          <xdr:blipFill>
            <a:blip xmlns:r="http://schemas.openxmlformats.org/officeDocument/2006/relationships" r:embed="rId1"/>
            <a:srcRect/>
            <a:stretch>
              <a:fillRect/>
            </a:stretch>
          </xdr:blipFill>
          <xdr:spPr bwMode="auto">
            <a:xfrm>
              <a:off x="11101388" y="52387"/>
              <a:ext cx="4298156" cy="2121693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700-000002000000}"/>
                </a:ext>
              </a:extLst>
            </xdr:cNvPr>
            <xdr:cNvPicPr>
              <a:picLocks noChangeAspect="1" noChangeArrowheads="1"/>
              <a:extLst>
                <a:ext uri="{84589F7E-364E-4C9E-8A38-B11213B215E9}">
                  <a14:cameraTool cellRange="$Y$1:$AB$75" spid="_x0000_s50240"/>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800-000002000000}"/>
                </a:ext>
              </a:extLst>
            </xdr:cNvPr>
            <xdr:cNvPicPr>
              <a:picLocks noChangeAspect="1" noChangeArrowheads="1"/>
              <a:extLst>
                <a:ext uri="{84589F7E-364E-4C9E-8A38-B11213B215E9}">
                  <a14:cameraTool cellRange="$Y$1:$AB$75" spid="_x0000_s51264"/>
                </a:ext>
              </a:extLst>
            </xdr:cNvPicPr>
          </xdr:nvPicPr>
          <xdr:blipFill>
            <a:blip xmlns:r="http://schemas.openxmlformats.org/officeDocument/2006/relationships" r:embed="rId1"/>
            <a:srcRect/>
            <a:stretch>
              <a:fillRect/>
            </a:stretch>
          </xdr:blipFill>
          <xdr:spPr bwMode="auto">
            <a:xfrm>
              <a:off x="11101388" y="52387"/>
              <a:ext cx="4298156" cy="2121693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900-000002000000}"/>
                </a:ext>
              </a:extLst>
            </xdr:cNvPr>
            <xdr:cNvPicPr>
              <a:picLocks noChangeAspect="1" noChangeArrowheads="1"/>
              <a:extLst>
                <a:ext uri="{84589F7E-364E-4C9E-8A38-B11213B215E9}">
                  <a14:cameraTool cellRange="$Y$1:$AB$75" spid="_x0000_s52290"/>
                </a:ext>
              </a:extLst>
            </xdr:cNvPicPr>
          </xdr:nvPicPr>
          <xdr:blipFill>
            <a:blip xmlns:r="http://schemas.openxmlformats.org/officeDocument/2006/relationships" r:embed="rId1"/>
            <a:srcRect/>
            <a:stretch>
              <a:fillRect/>
            </a:stretch>
          </xdr:blipFill>
          <xdr:spPr bwMode="auto">
            <a:xfrm>
              <a:off x="11101388" y="52387"/>
              <a:ext cx="4298156" cy="2096690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38</xdr:col>
      <xdr:colOff>28576</xdr:colOff>
      <xdr:row>49</xdr:row>
      <xdr:rowOff>19051</xdr:rowOff>
    </xdr:from>
    <xdr:to>
      <xdr:col>41</xdr:col>
      <xdr:colOff>342901</xdr:colOff>
      <xdr:row>55</xdr:row>
      <xdr:rowOff>200026</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32005" y="16470087"/>
          <a:ext cx="2300967" cy="233090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36</xdr:col>
          <xdr:colOff>450397</xdr:colOff>
          <xdr:row>18</xdr:row>
          <xdr:rowOff>43545</xdr:rowOff>
        </xdr:from>
        <xdr:to>
          <xdr:col>39</xdr:col>
          <xdr:colOff>320510</xdr:colOff>
          <xdr:row>23</xdr:row>
          <xdr:rowOff>231324</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AM$50:$AP$56" spid="_x0000_s110604"/>
                </a:ext>
              </a:extLst>
            </xdr:cNvPicPr>
          </xdr:nvPicPr>
          <xdr:blipFill>
            <a:blip xmlns:r="http://schemas.openxmlformats.org/officeDocument/2006/relationships" r:embed="rId2"/>
            <a:srcRect/>
            <a:stretch>
              <a:fillRect/>
            </a:stretch>
          </xdr:blipFill>
          <xdr:spPr bwMode="auto">
            <a:xfrm>
              <a:off x="10247540" y="6425295"/>
              <a:ext cx="1530184" cy="1562100"/>
            </a:xfrm>
            <a:prstGeom prst="rect">
              <a:avLst/>
            </a:prstGeom>
            <a:noFill/>
            <a:ln w="9525">
              <a:noFill/>
              <a:miter lim="800000"/>
              <a:headEnd/>
              <a:tailEnd/>
            </a:ln>
          </xdr:spPr>
        </xdr:pic>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A00-000002000000}"/>
                </a:ext>
              </a:extLst>
            </xdr:cNvPr>
            <xdr:cNvPicPr>
              <a:picLocks noChangeAspect="1" noChangeArrowheads="1"/>
              <a:extLst>
                <a:ext uri="{84589F7E-364E-4C9E-8A38-B11213B215E9}">
                  <a14:cameraTool cellRange="$Y$1:$AB$75" spid="_x0000_s53312"/>
                </a:ext>
              </a:extLst>
            </xdr:cNvPicPr>
          </xdr:nvPicPr>
          <xdr:blipFill>
            <a:blip xmlns:r="http://schemas.openxmlformats.org/officeDocument/2006/relationships" r:embed="rId1"/>
            <a:srcRect/>
            <a:stretch>
              <a:fillRect/>
            </a:stretch>
          </xdr:blipFill>
          <xdr:spPr bwMode="auto">
            <a:xfrm>
              <a:off x="11101388" y="52387"/>
              <a:ext cx="4298156" cy="2121693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B00-000002000000}"/>
                </a:ext>
              </a:extLst>
            </xdr:cNvPr>
            <xdr:cNvPicPr>
              <a:picLocks noChangeAspect="1" noChangeArrowheads="1"/>
              <a:extLst>
                <a:ext uri="{84589F7E-364E-4C9E-8A38-B11213B215E9}">
                  <a14:cameraTool cellRange="$Y$1:$AB$75" spid="_x0000_s54336"/>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1C00-000002000000}"/>
                </a:ext>
              </a:extLst>
            </xdr:cNvPr>
            <xdr:cNvPicPr>
              <a:picLocks noChangeAspect="1" noChangeArrowheads="1"/>
              <a:extLst>
                <a:ext uri="{84589F7E-364E-4C9E-8A38-B11213B215E9}">
                  <a14:cameraTool cellRange="$Y$1:$AB$75" spid="_x0000_s55360"/>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330200</xdr:colOff>
          <xdr:row>1</xdr:row>
          <xdr:rowOff>127000</xdr:rowOff>
        </xdr:from>
        <xdr:to>
          <xdr:col>20</xdr:col>
          <xdr:colOff>438150</xdr:colOff>
          <xdr:row>7</xdr:row>
          <xdr:rowOff>88859</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X$6:$AN$11" spid="_x0000_s85027"/>
                </a:ext>
              </a:extLst>
            </xdr:cNvPicPr>
          </xdr:nvPicPr>
          <xdr:blipFill>
            <a:blip xmlns:r="http://schemas.openxmlformats.org/officeDocument/2006/relationships" r:embed="rId1"/>
            <a:srcRect/>
            <a:stretch>
              <a:fillRect/>
            </a:stretch>
          </xdr:blipFill>
          <xdr:spPr bwMode="auto">
            <a:xfrm>
              <a:off x="8915400" y="508000"/>
              <a:ext cx="4730750" cy="110485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38</xdr:col>
      <xdr:colOff>28575</xdr:colOff>
      <xdr:row>49</xdr:row>
      <xdr:rowOff>19050</xdr:rowOff>
    </xdr:from>
    <xdr:to>
      <xdr:col>41</xdr:col>
      <xdr:colOff>342900</xdr:colOff>
      <xdr:row>55</xdr:row>
      <xdr:rowOff>209550</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73775" y="10972800"/>
          <a:ext cx="2286000" cy="2333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693261</xdr:colOff>
          <xdr:row>18</xdr:row>
          <xdr:rowOff>168087</xdr:rowOff>
        </xdr:from>
        <xdr:to>
          <xdr:col>24</xdr:col>
          <xdr:colOff>392205</xdr:colOff>
          <xdr:row>25</xdr:row>
          <xdr:rowOff>128306</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a:extLst>
                <a:ext uri="{84589F7E-364E-4C9E-8A38-B11213B215E9}">
                  <a14:cameraTool cellRange="$AM$50:$AP$56" spid="_x0000_s57396"/>
                </a:ext>
              </a:extLst>
            </xdr:cNvPicPr>
          </xdr:nvPicPr>
          <xdr:blipFill>
            <a:blip xmlns:r="http://schemas.openxmlformats.org/officeDocument/2006/relationships" r:embed="rId2"/>
            <a:srcRect/>
            <a:stretch>
              <a:fillRect/>
            </a:stretch>
          </xdr:blipFill>
          <xdr:spPr bwMode="auto">
            <a:xfrm>
              <a:off x="7136643" y="4190999"/>
              <a:ext cx="1245356" cy="1293719"/>
            </a:xfrm>
            <a:prstGeom prst="rect">
              <a:avLst/>
            </a:prstGeom>
            <a:no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0</xdr:colOff>
      <xdr:row>45</xdr:row>
      <xdr:rowOff>79375</xdr:rowOff>
    </xdr:from>
    <xdr:to>
      <xdr:col>30</xdr:col>
      <xdr:colOff>158750</xdr:colOff>
      <xdr:row>53</xdr:row>
      <xdr:rowOff>190500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657350" y="11728450"/>
          <a:ext cx="6788150" cy="2092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r>
            <a:rPr kumimoji="1" lang="ja-JP" altLang="en-US" sz="1800"/>
            <a:t>　　</a:t>
          </a:r>
          <a:r>
            <a:rPr kumimoji="1" lang="en-US" altLang="ja-JP" sz="1800" b="1"/>
            <a:t>【</a:t>
          </a:r>
          <a:r>
            <a:rPr kumimoji="1" lang="ja-JP" altLang="en-US" sz="1800" b="1"/>
            <a:t>郵送先</a:t>
          </a:r>
          <a:r>
            <a:rPr kumimoji="1" lang="en-US" altLang="ja-JP" sz="1800" b="1"/>
            <a:t>】</a:t>
          </a:r>
        </a:p>
        <a:p>
          <a:r>
            <a:rPr kumimoji="1" lang="ja-JP" altLang="en-US" sz="1800" b="1"/>
            <a:t>　　　〒４６０－０００１</a:t>
          </a:r>
          <a:endParaRPr kumimoji="1" lang="en-US" altLang="ja-JP" sz="1800" b="1"/>
        </a:p>
        <a:p>
          <a:r>
            <a:rPr kumimoji="1" lang="ja-JP" altLang="en-US" sz="1800" b="1"/>
            <a:t>　　　名古屋市中区三の丸３－１－２</a:t>
          </a:r>
          <a:endParaRPr kumimoji="1" lang="en-US" altLang="ja-JP" sz="1800" b="1"/>
        </a:p>
        <a:p>
          <a:r>
            <a:rPr kumimoji="1" lang="ja-JP" altLang="en-US" sz="1800" b="1"/>
            <a:t>　　　感染症対策課感染症対策助成グループ　宛</a:t>
          </a:r>
        </a:p>
      </xdr:txBody>
    </xdr:sp>
    <xdr:clientData/>
  </xdr:twoCellAnchor>
  <xdr:twoCellAnchor>
    <xdr:from>
      <xdr:col>0</xdr:col>
      <xdr:colOff>200025</xdr:colOff>
      <xdr:row>6</xdr:row>
      <xdr:rowOff>180975</xdr:rowOff>
    </xdr:from>
    <xdr:to>
      <xdr:col>12</xdr:col>
      <xdr:colOff>151039</xdr:colOff>
      <xdr:row>16</xdr:row>
      <xdr:rowOff>51707</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00025" y="1704975"/>
          <a:ext cx="3265714" cy="2347232"/>
        </a:xfrm>
        <a:prstGeom prst="rect">
          <a:avLst/>
        </a:prstGeom>
        <a:solidFill>
          <a:schemeClr val="accent4">
            <a:lumMod val="20000"/>
            <a:lumOff val="80000"/>
          </a:schemeClr>
        </a:solidFill>
        <a:ln w="15875" cmpd="dbl">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kumimoji="1" lang="ja-JP" altLang="en-US" sz="1600" b="0">
              <a:latin typeface="ＭＳ ゴシック" panose="020B0609070205080204" pitchFamily="49" charset="-128"/>
              <a:ea typeface="ＭＳ ゴシック" panose="020B0609070205080204" pitchFamily="49" charset="-128"/>
            </a:rPr>
            <a:t>「はじめに入力してください」シートに入力した内容が自動表示されますので、本シートは入力　不要です。</a:t>
          </a:r>
          <a:endParaRPr kumimoji="1" lang="en-US" altLang="ja-JP" sz="1600" b="0">
            <a:latin typeface="ＭＳ ゴシック" panose="020B0609070205080204" pitchFamily="49" charset="-128"/>
            <a:ea typeface="ＭＳ ゴシック" panose="020B0609070205080204" pitchFamily="49" charset="-128"/>
          </a:endParaRPr>
        </a:p>
        <a:p>
          <a:pPr algn="just"/>
          <a:endParaRPr kumimoji="1" lang="en-US" altLang="ja-JP" sz="1600" b="0">
            <a:latin typeface="ＭＳ ゴシック" panose="020B0609070205080204" pitchFamily="49" charset="-128"/>
            <a:ea typeface="ＭＳ ゴシック" panose="020B0609070205080204" pitchFamily="49" charset="-128"/>
          </a:endParaRPr>
        </a:p>
        <a:p>
          <a:pPr algn="just"/>
          <a:r>
            <a:rPr kumimoji="1" lang="ja-JP" altLang="en-US" sz="1600" b="0">
              <a:latin typeface="ＭＳ ゴシック" panose="020B0609070205080204" pitchFamily="49" charset="-128"/>
              <a:ea typeface="ＭＳ ゴシック" panose="020B0609070205080204" pitchFamily="49" charset="-128"/>
            </a:rPr>
            <a:t>また、申請額は関係シートに経費情報が入力されると自動で表示　されます。</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95250</xdr:colOff>
          <xdr:row>1</xdr:row>
          <xdr:rowOff>0</xdr:rowOff>
        </xdr:from>
        <xdr:to>
          <xdr:col>32</xdr:col>
          <xdr:colOff>171450</xdr:colOff>
          <xdr:row>29</xdr:row>
          <xdr:rowOff>0</xdr:rowOff>
        </xdr:to>
        <xdr:pic>
          <xdr:nvPicPr>
            <xdr:cNvPr id="2" name="図 1">
              <a:extLst>
                <a:ext uri="{FF2B5EF4-FFF2-40B4-BE49-F238E27FC236}">
                  <a16:creationId xmlns:a16="http://schemas.microsoft.com/office/drawing/2014/main" id="{00000000-0008-0000-0B00-000002000000}"/>
                </a:ext>
              </a:extLst>
            </xdr:cNvPr>
            <xdr:cNvPicPr>
              <a:picLocks noChangeAspect="1" noChangeArrowheads="1"/>
              <a:extLst>
                <a:ext uri="{84589F7E-364E-4C9E-8A38-B11213B215E9}">
                  <a14:cameraTool cellRange="$AQ$2:$AT$29" spid="_x0000_s29781"/>
                </a:ext>
              </a:extLst>
            </xdr:cNvPicPr>
          </xdr:nvPicPr>
          <xdr:blipFill>
            <a:blip xmlns:r="http://schemas.openxmlformats.org/officeDocument/2006/relationships" r:embed="rId1"/>
            <a:srcRect/>
            <a:stretch>
              <a:fillRect/>
            </a:stretch>
          </xdr:blipFill>
          <xdr:spPr bwMode="auto">
            <a:xfrm>
              <a:off x="19183350" y="323850"/>
              <a:ext cx="9182100" cy="114490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3</xdr:row>
          <xdr:rowOff>114300</xdr:rowOff>
        </xdr:from>
        <xdr:to>
          <xdr:col>14</xdr:col>
          <xdr:colOff>619125</xdr:colOff>
          <xdr:row>13</xdr:row>
          <xdr:rowOff>114300</xdr:rowOff>
        </xdr:to>
        <xdr:pic>
          <xdr:nvPicPr>
            <xdr:cNvPr id="2" name="図 1">
              <a:extLst>
                <a:ext uri="{FF2B5EF4-FFF2-40B4-BE49-F238E27FC236}">
                  <a16:creationId xmlns:a16="http://schemas.microsoft.com/office/drawing/2014/main" id="{00000000-0008-0000-0C00-000002000000}"/>
                </a:ext>
              </a:extLst>
            </xdr:cNvPr>
            <xdr:cNvPicPr>
              <a:picLocks noChangeAspect="1" noChangeArrowheads="1"/>
              <a:extLst>
                <a:ext uri="{84589F7E-364E-4C9E-8A38-B11213B215E9}">
                  <a14:cameraTool cellRange="$X$4:$AD$13" spid="_x0000_s68655"/>
                </a:ext>
              </a:extLst>
            </xdr:cNvPicPr>
          </xdr:nvPicPr>
          <xdr:blipFill>
            <a:blip xmlns:r="http://schemas.openxmlformats.org/officeDocument/2006/relationships" r:embed="rId1"/>
            <a:srcRect/>
            <a:stretch>
              <a:fillRect/>
            </a:stretch>
          </xdr:blipFill>
          <xdr:spPr bwMode="auto">
            <a:xfrm>
              <a:off x="7112000" y="1019175"/>
              <a:ext cx="4778375" cy="1905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3" name="図 2">
              <a:extLst>
                <a:ext uri="{FF2B5EF4-FFF2-40B4-BE49-F238E27FC236}">
                  <a16:creationId xmlns:a16="http://schemas.microsoft.com/office/drawing/2014/main" id="{00000000-0008-0000-0E00-000003000000}"/>
                </a:ext>
              </a:extLst>
            </xdr:cNvPr>
            <xdr:cNvPicPr>
              <a:picLocks noChangeAspect="1" noChangeArrowheads="1"/>
              <a:extLst>
                <a:ext uri="{84589F7E-364E-4C9E-8A38-B11213B215E9}">
                  <a14:cameraTool cellRange="$Y$1:$AB$75" spid="_x0000_s7308"/>
                </a:ext>
              </a:extLst>
            </xdr:cNvPicPr>
          </xdr:nvPicPr>
          <xdr:blipFill>
            <a:blip xmlns:r="http://schemas.openxmlformats.org/officeDocument/2006/relationships" r:embed="rId1"/>
            <a:srcRect/>
            <a:stretch>
              <a:fillRect/>
            </a:stretch>
          </xdr:blipFill>
          <xdr:spPr bwMode="auto">
            <a:xfrm>
              <a:off x="11101388" y="52387"/>
              <a:ext cx="4298156" cy="2146696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0</xdr:row>
          <xdr:rowOff>52387</xdr:rowOff>
        </xdr:from>
        <xdr:to>
          <xdr:col>19</xdr:col>
          <xdr:colOff>492919</xdr:colOff>
          <xdr:row>75</xdr:row>
          <xdr:rowOff>52387</xdr:rowOff>
        </xdr:to>
        <xdr:pic>
          <xdr:nvPicPr>
            <xdr:cNvPr id="2" name="図 1">
              <a:extLst>
                <a:ext uri="{FF2B5EF4-FFF2-40B4-BE49-F238E27FC236}">
                  <a16:creationId xmlns:a16="http://schemas.microsoft.com/office/drawing/2014/main" id="{00000000-0008-0000-0F00-000002000000}"/>
                </a:ext>
              </a:extLst>
            </xdr:cNvPr>
            <xdr:cNvPicPr>
              <a:picLocks noChangeAspect="1" noChangeArrowheads="1"/>
              <a:extLst>
                <a:ext uri="{84589F7E-364E-4C9E-8A38-B11213B215E9}">
                  <a14:cameraTool cellRange="$Y$1:$AB$75" spid="_x0000_s43074"/>
                </a:ext>
              </a:extLst>
            </xdr:cNvPicPr>
          </xdr:nvPicPr>
          <xdr:blipFill>
            <a:blip xmlns:r="http://schemas.openxmlformats.org/officeDocument/2006/relationships" r:embed="rId1"/>
            <a:srcRect/>
            <a:stretch>
              <a:fillRect/>
            </a:stretch>
          </xdr:blipFill>
          <xdr:spPr bwMode="auto">
            <a:xfrm>
              <a:off x="11106150" y="52387"/>
              <a:ext cx="4312444" cy="21574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1%20&#20837;&#38498;&#37325;&#28857;&#20132;&#20184;&#30003;&#35531;&#26360;&#65288;&#65298;&#27425;&#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転記用"/>
      <sheetName val="はじめに入力してください"/>
      <sheetName val="振込先情報"/>
      <sheetName val="表紙"/>
      <sheetName val="請求書"/>
      <sheetName val="経費書"/>
      <sheetName val="額内訳書"/>
      <sheetName val="歳入歳出抄本"/>
      <sheetName val="初度設備明細 "/>
      <sheetName val="人工呼吸器明細"/>
      <sheetName val="個人防護具明細"/>
      <sheetName val="簡易陰圧装置明細 "/>
      <sheetName val="簡易病室明細"/>
      <sheetName val="超音波画像診断装置"/>
      <sheetName val="血液浄化装置明細"/>
      <sheetName val="気管支鏡"/>
      <sheetName val="CT撮影装置明細"/>
      <sheetName val="生体情報モニタ"/>
      <sheetName val="分娩監視装置"/>
      <sheetName val="新生児モニタ "/>
      <sheetName val="リスト"/>
    </sheetNames>
    <sheetDataSet>
      <sheetData sheetId="0" refreshError="1"/>
      <sheetData sheetId="1" refreshError="1">
        <row r="3">
          <cell r="O3"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7"/>
  <sheetViews>
    <sheetView topLeftCell="A7" zoomScale="120" zoomScaleNormal="120" workbookViewId="0">
      <selection activeCell="L20" sqref="L20:M20"/>
    </sheetView>
  </sheetViews>
  <sheetFormatPr defaultColWidth="8.58203125" defaultRowHeight="10.5"/>
  <cols>
    <col min="1" max="3" width="12.58203125" style="111" customWidth="1"/>
    <col min="4" max="6" width="12.58203125" style="114" customWidth="1"/>
    <col min="7" max="8" width="12.58203125" style="111" customWidth="1"/>
    <col min="9" max="9" width="75.58203125" style="112" customWidth="1"/>
    <col min="10" max="16384" width="8.58203125" style="111"/>
  </cols>
  <sheetData>
    <row r="1" spans="2:8" ht="15" customHeight="1"/>
    <row r="2" spans="2:8" ht="15" customHeight="1">
      <c r="B2" s="122" t="s">
        <v>814</v>
      </c>
      <c r="C2" s="118" t="s">
        <v>544</v>
      </c>
    </row>
    <row r="3" spans="2:8" ht="15" customHeight="1">
      <c r="C3" s="123" t="s">
        <v>456</v>
      </c>
    </row>
    <row r="4" spans="2:8" ht="15" customHeight="1">
      <c r="C4" s="123" t="s">
        <v>814</v>
      </c>
    </row>
    <row r="5" spans="2:8" ht="15" customHeight="1">
      <c r="C5" s="123" t="s">
        <v>543</v>
      </c>
    </row>
    <row r="6" spans="2:8" ht="15" customHeight="1">
      <c r="C6" s="123" t="s">
        <v>457</v>
      </c>
    </row>
    <row r="7" spans="2:8" ht="15" customHeight="1">
      <c r="C7" s="117"/>
    </row>
    <row r="8" spans="2:8" ht="15" customHeight="1">
      <c r="C8" s="118" t="s">
        <v>550</v>
      </c>
      <c r="D8" s="119" t="s">
        <v>89</v>
      </c>
      <c r="E8" s="119" t="s">
        <v>90</v>
      </c>
      <c r="F8" s="119" t="s">
        <v>91</v>
      </c>
      <c r="G8" s="124" t="s">
        <v>551</v>
      </c>
    </row>
    <row r="9" spans="2:8" ht="15" customHeight="1">
      <c r="B9" s="116"/>
      <c r="C9" s="118" t="s">
        <v>545</v>
      </c>
      <c r="D9" s="119">
        <v>2022</v>
      </c>
      <c r="E9" s="119">
        <v>11</v>
      </c>
      <c r="F9" s="119">
        <v>1</v>
      </c>
      <c r="G9" s="125">
        <f>DATE(D9,E9,F9)</f>
        <v>44866</v>
      </c>
    </row>
    <row r="10" spans="2:8" ht="15" customHeight="1">
      <c r="B10" s="116"/>
      <c r="C10" s="118" t="s">
        <v>546</v>
      </c>
      <c r="D10" s="119">
        <v>2022</v>
      </c>
      <c r="E10" s="119">
        <v>11</v>
      </c>
      <c r="F10" s="119">
        <v>30</v>
      </c>
      <c r="G10" s="125">
        <f t="shared" ref="G10:G16" si="0">DATE(D10,E10,F10)</f>
        <v>44895</v>
      </c>
      <c r="H10" s="111" t="str">
        <f>IF(テーブル!G13&gt;テーブル!G10,"○","×")</f>
        <v>×</v>
      </c>
    </row>
    <row r="11" spans="2:8" ht="15" customHeight="1">
      <c r="B11" s="115"/>
      <c r="C11" s="118" t="s">
        <v>547</v>
      </c>
      <c r="D11" s="119">
        <v>2023</v>
      </c>
      <c r="E11" s="119">
        <v>1</v>
      </c>
      <c r="F11" s="119">
        <v>15</v>
      </c>
      <c r="G11" s="125">
        <f t="shared" si="0"/>
        <v>44941</v>
      </c>
    </row>
    <row r="12" spans="2:8" ht="15" customHeight="1">
      <c r="B12" s="115"/>
      <c r="C12" s="118" t="s">
        <v>548</v>
      </c>
      <c r="D12" s="119">
        <v>2023</v>
      </c>
      <c r="E12" s="119">
        <v>2</v>
      </c>
      <c r="F12" s="119">
        <v>14</v>
      </c>
      <c r="G12" s="125">
        <f t="shared" si="0"/>
        <v>44971</v>
      </c>
    </row>
    <row r="13" spans="2:8" ht="15" customHeight="1">
      <c r="B13" s="116"/>
      <c r="C13" s="118" t="s">
        <v>98</v>
      </c>
      <c r="D13" s="119">
        <f>IF(はじめに入力してください!I14=4,2022,IF(はじめに入力してください!I14=5,2023,2022))</f>
        <v>2022</v>
      </c>
      <c r="E13" s="119">
        <f>IF(はじめに入力してください!K14="",4,はじめに入力してください!K14)</f>
        <v>4</v>
      </c>
      <c r="F13" s="119">
        <f>IF(はじめに入力してください!M14="",1,はじめに入力してください!M14)</f>
        <v>1</v>
      </c>
      <c r="G13" s="125">
        <f t="shared" si="0"/>
        <v>44652</v>
      </c>
    </row>
    <row r="14" spans="2:8" ht="15" customHeight="1">
      <c r="B14" s="116"/>
      <c r="C14" s="120" t="str">
        <f xml:space="preserve">
IF(OR(テーブル!B2="事前協議",テーブル!B2="交付申請",テーブル!B2="交付申請（２次以降）"),"事業完了予定日",
IF(テーブル!B2="変更申請","事業完了予定日",
IF(テーブル!B2="実績報告","事業完了日")))</f>
        <v>事業完了予定日</v>
      </c>
      <c r="D14" s="121" t="s">
        <v>591</v>
      </c>
      <c r="E14" s="121" t="s">
        <v>591</v>
      </c>
      <c r="F14" s="121" t="s">
        <v>591</v>
      </c>
      <c r="G14" s="125">
        <f>MAX(額内訳書!AG7:AG29)</f>
        <v>0</v>
      </c>
    </row>
    <row r="15" spans="2:8" ht="15" customHeight="1">
      <c r="B15" s="116"/>
      <c r="C15" s="118" t="s">
        <v>107</v>
      </c>
      <c r="D15" s="119">
        <v>2022</v>
      </c>
      <c r="E15" s="119">
        <v>12</v>
      </c>
      <c r="F15" s="119">
        <v>31</v>
      </c>
      <c r="G15" s="125">
        <f t="shared" si="0"/>
        <v>44926</v>
      </c>
    </row>
    <row r="16" spans="2:8" ht="15" customHeight="1">
      <c r="B16" s="116"/>
      <c r="C16" s="118" t="s">
        <v>549</v>
      </c>
      <c r="D16" s="119">
        <v>2022</v>
      </c>
      <c r="E16" s="119">
        <v>10</v>
      </c>
      <c r="F16" s="119">
        <v>1</v>
      </c>
      <c r="G16" s="125">
        <f t="shared" si="0"/>
        <v>44835</v>
      </c>
    </row>
    <row r="17" spans="2:7" ht="15" customHeight="1">
      <c r="B17" s="115"/>
      <c r="C17" s="118" t="s">
        <v>109</v>
      </c>
      <c r="D17" s="119">
        <v>2023</v>
      </c>
      <c r="E17" s="119">
        <v>3</v>
      </c>
      <c r="F17" s="119">
        <v>31</v>
      </c>
      <c r="G17" s="125">
        <f>DATE(D17,E17,F17)</f>
        <v>45016</v>
      </c>
    </row>
    <row r="18" spans="2:7" ht="15" customHeight="1"/>
    <row r="19" spans="2:7" ht="15" customHeight="1">
      <c r="B19" s="111" t="s">
        <v>1150</v>
      </c>
      <c r="C19" s="111">
        <v>1</v>
      </c>
    </row>
    <row r="20" spans="2:7" ht="15" customHeight="1">
      <c r="C20" s="111">
        <v>2</v>
      </c>
    </row>
    <row r="21" spans="2:7" ht="15" customHeight="1"/>
    <row r="22" spans="2:7" ht="15" customHeight="1"/>
    <row r="23" spans="2:7" ht="15" customHeight="1"/>
    <row r="24" spans="2:7" ht="15" customHeight="1"/>
    <row r="25" spans="2:7" ht="15" customHeight="1"/>
    <row r="26" spans="2:7" ht="15" customHeight="1"/>
    <row r="27" spans="2:7" ht="15" customHeight="1"/>
    <row r="28" spans="2:7" ht="15" customHeight="1"/>
    <row r="29" spans="2:7" ht="15" customHeight="1"/>
    <row r="30" spans="2:7" ht="15" customHeight="1"/>
    <row r="31" spans="2:7" ht="15" customHeight="1"/>
    <row r="32" spans="2:7" ht="15" customHeight="1"/>
    <row r="33" spans="1:26" ht="15" customHeight="1"/>
    <row r="34" spans="1:26" ht="15" customHeight="1"/>
    <row r="35" spans="1:26" ht="15" customHeight="1"/>
    <row r="36" spans="1:26" ht="15" customHeight="1"/>
    <row r="37" spans="1:26" ht="21">
      <c r="H37" s="102" t="s">
        <v>458</v>
      </c>
      <c r="I37" s="104" t="s">
        <v>533</v>
      </c>
      <c r="J37" s="103" t="s">
        <v>473</v>
      </c>
    </row>
    <row r="38" spans="1:26" ht="63">
      <c r="H38" s="102" t="s">
        <v>459</v>
      </c>
      <c r="I38" s="104" t="s">
        <v>534</v>
      </c>
      <c r="J38" s="103" t="s">
        <v>474</v>
      </c>
    </row>
    <row r="39" spans="1:26">
      <c r="H39" s="102" t="s">
        <v>460</v>
      </c>
      <c r="I39" s="104"/>
      <c r="J39" s="103" t="s">
        <v>475</v>
      </c>
    </row>
    <row r="40" spans="1:26" ht="63">
      <c r="H40" s="102" t="s">
        <v>461</v>
      </c>
      <c r="I40" s="104" t="s">
        <v>540</v>
      </c>
      <c r="J40" s="103" t="s">
        <v>476</v>
      </c>
    </row>
    <row r="41" spans="1:26" ht="31.5">
      <c r="H41" s="102" t="s">
        <v>462</v>
      </c>
      <c r="I41" s="104" t="s">
        <v>488</v>
      </c>
      <c r="J41" s="103" t="s">
        <v>477</v>
      </c>
    </row>
    <row r="42" spans="1:26" ht="42">
      <c r="H42" s="102" t="s">
        <v>463</v>
      </c>
      <c r="I42" s="104" t="s">
        <v>492</v>
      </c>
      <c r="J42" s="103" t="s">
        <v>478</v>
      </c>
    </row>
    <row r="43" spans="1:26" ht="42">
      <c r="H43" s="102" t="s">
        <v>464</v>
      </c>
      <c r="I43" s="104" t="s">
        <v>489</v>
      </c>
      <c r="J43" s="103" t="s">
        <v>479</v>
      </c>
    </row>
    <row r="44" spans="1:26" ht="42">
      <c r="H44" s="102" t="s">
        <v>465</v>
      </c>
      <c r="I44" s="104" t="s">
        <v>493</v>
      </c>
      <c r="J44" s="103" t="s">
        <v>480</v>
      </c>
    </row>
    <row r="45" spans="1:26" ht="42">
      <c r="H45" s="102" t="s">
        <v>466</v>
      </c>
      <c r="I45" s="113" t="s">
        <v>490</v>
      </c>
      <c r="J45" s="103" t="s">
        <v>481</v>
      </c>
    </row>
    <row r="46" spans="1:26" ht="15" customHeight="1">
      <c r="A46" s="15"/>
      <c r="B46" s="15" t="s">
        <v>635</v>
      </c>
      <c r="C46" s="15" t="s">
        <v>637</v>
      </c>
      <c r="D46" s="15" t="s">
        <v>639</v>
      </c>
      <c r="E46" s="15" t="s">
        <v>640</v>
      </c>
      <c r="H46" s="102" t="s">
        <v>467</v>
      </c>
      <c r="I46" s="113" t="s">
        <v>495</v>
      </c>
      <c r="J46" s="103" t="s">
        <v>482</v>
      </c>
      <c r="V46" s="124"/>
      <c r="W46" s="124" t="s">
        <v>634</v>
      </c>
      <c r="X46" s="124" t="s">
        <v>636</v>
      </c>
      <c r="Y46" s="124" t="s">
        <v>638</v>
      </c>
      <c r="Z46" s="406"/>
    </row>
    <row r="47" spans="1:26" ht="15" customHeight="1">
      <c r="A47" s="15">
        <v>47</v>
      </c>
      <c r="B47" s="15"/>
      <c r="C47" s="15" t="s">
        <v>135</v>
      </c>
      <c r="D47" s="15" t="s">
        <v>136</v>
      </c>
      <c r="E47" s="15" t="s">
        <v>137</v>
      </c>
      <c r="H47" s="102" t="s">
        <v>468</v>
      </c>
      <c r="I47" s="113" t="s">
        <v>491</v>
      </c>
      <c r="J47" s="103" t="s">
        <v>483</v>
      </c>
      <c r="V47" s="124">
        <v>47</v>
      </c>
      <c r="W47" s="124"/>
      <c r="X47" s="124" t="s">
        <v>135</v>
      </c>
      <c r="Y47" s="124" t="s">
        <v>835</v>
      </c>
      <c r="Z47" s="406"/>
    </row>
    <row r="48" spans="1:26" ht="15" customHeight="1">
      <c r="A48" s="15">
        <v>48</v>
      </c>
      <c r="B48" s="15" t="s">
        <v>135</v>
      </c>
      <c r="C48" s="15" t="s">
        <v>139</v>
      </c>
      <c r="D48" s="15" t="s">
        <v>140</v>
      </c>
      <c r="E48" s="15" t="s">
        <v>141</v>
      </c>
      <c r="H48" s="102" t="s">
        <v>469</v>
      </c>
      <c r="I48" s="113" t="s">
        <v>494</v>
      </c>
      <c r="J48" s="103" t="s">
        <v>484</v>
      </c>
      <c r="V48" s="124">
        <v>48</v>
      </c>
      <c r="W48" s="124" t="s">
        <v>135</v>
      </c>
      <c r="X48" s="124" t="s">
        <v>986</v>
      </c>
      <c r="Y48" s="124" t="s">
        <v>836</v>
      </c>
      <c r="Z48" s="406"/>
    </row>
    <row r="49" spans="1:26" ht="15" customHeight="1">
      <c r="A49" s="15">
        <v>49</v>
      </c>
      <c r="B49" s="15" t="s">
        <v>136</v>
      </c>
      <c r="C49" s="15"/>
      <c r="D49" s="15" t="s">
        <v>143</v>
      </c>
      <c r="E49" s="15" t="s">
        <v>144</v>
      </c>
      <c r="H49" s="102" t="s">
        <v>470</v>
      </c>
      <c r="I49" s="113" t="s">
        <v>536</v>
      </c>
      <c r="J49" s="103" t="s">
        <v>485</v>
      </c>
      <c r="V49" s="124">
        <v>49</v>
      </c>
      <c r="W49" s="124" t="s">
        <v>835</v>
      </c>
      <c r="X49" s="124" t="s">
        <v>987</v>
      </c>
      <c r="Y49" s="124" t="s">
        <v>837</v>
      </c>
      <c r="Z49" s="406"/>
    </row>
    <row r="50" spans="1:26" ht="15" customHeight="1">
      <c r="A50" s="15">
        <v>50</v>
      </c>
      <c r="B50" s="15" t="s">
        <v>137</v>
      </c>
      <c r="C50" s="15"/>
      <c r="D50" s="15" t="s">
        <v>146</v>
      </c>
      <c r="E50" s="15" t="s">
        <v>147</v>
      </c>
      <c r="H50" s="102" t="s">
        <v>471</v>
      </c>
      <c r="I50" s="104" t="s">
        <v>541</v>
      </c>
      <c r="J50" s="103" t="s">
        <v>486</v>
      </c>
      <c r="V50" s="124">
        <v>50</v>
      </c>
      <c r="W50" s="124"/>
      <c r="X50" s="124" t="s">
        <v>988</v>
      </c>
      <c r="Y50" s="124" t="s">
        <v>838</v>
      </c>
      <c r="Z50" s="406"/>
    </row>
    <row r="51" spans="1:26" ht="15" customHeight="1">
      <c r="A51" s="15">
        <v>51</v>
      </c>
      <c r="B51" s="15"/>
      <c r="C51" s="15"/>
      <c r="D51" s="15" t="s">
        <v>149</v>
      </c>
      <c r="E51" s="15" t="s">
        <v>150</v>
      </c>
      <c r="H51" s="102" t="s">
        <v>472</v>
      </c>
      <c r="I51" s="104" t="s">
        <v>542</v>
      </c>
      <c r="J51" s="103" t="s">
        <v>487</v>
      </c>
      <c r="V51" s="124">
        <v>51</v>
      </c>
      <c r="W51" s="124"/>
      <c r="X51" s="124" t="s">
        <v>989</v>
      </c>
      <c r="Y51" s="124" t="s">
        <v>839</v>
      </c>
      <c r="Z51" s="406"/>
    </row>
    <row r="52" spans="1:26" ht="15" customHeight="1">
      <c r="A52" s="15">
        <v>52</v>
      </c>
      <c r="B52" s="15"/>
      <c r="C52" s="15"/>
      <c r="D52" s="15" t="s">
        <v>152</v>
      </c>
      <c r="E52" s="15" t="s">
        <v>153</v>
      </c>
      <c r="V52" s="124">
        <v>52</v>
      </c>
      <c r="W52" s="124"/>
      <c r="X52" s="124" t="s">
        <v>990</v>
      </c>
      <c r="Y52" s="124" t="s">
        <v>840</v>
      </c>
      <c r="Z52" s="406"/>
    </row>
    <row r="53" spans="1:26" ht="15" customHeight="1">
      <c r="A53" s="15">
        <v>53</v>
      </c>
      <c r="B53" s="15"/>
      <c r="C53" s="15"/>
      <c r="D53" s="15" t="s">
        <v>155</v>
      </c>
      <c r="E53" s="15" t="s">
        <v>156</v>
      </c>
      <c r="V53" s="124">
        <v>53</v>
      </c>
      <c r="W53" s="124"/>
      <c r="X53" s="124" t="s">
        <v>991</v>
      </c>
      <c r="Y53" s="124" t="s">
        <v>841</v>
      </c>
      <c r="Z53" s="406"/>
    </row>
    <row r="54" spans="1:26" ht="15" customHeight="1">
      <c r="A54" s="15">
        <v>54</v>
      </c>
      <c r="B54" s="15"/>
      <c r="C54" s="15"/>
      <c r="D54" s="15" t="s">
        <v>158</v>
      </c>
      <c r="E54" s="15" t="s">
        <v>159</v>
      </c>
      <c r="V54" s="124">
        <v>54</v>
      </c>
      <c r="W54" s="124"/>
      <c r="X54" s="124" t="s">
        <v>992</v>
      </c>
      <c r="Y54" s="124" t="s">
        <v>842</v>
      </c>
      <c r="Z54" s="406"/>
    </row>
    <row r="55" spans="1:26" ht="15" customHeight="1">
      <c r="A55" s="15">
        <v>55</v>
      </c>
      <c r="B55" s="15"/>
      <c r="C55" s="15"/>
      <c r="D55" s="15" t="s">
        <v>161</v>
      </c>
      <c r="E55" s="15" t="s">
        <v>162</v>
      </c>
      <c r="V55" s="124">
        <v>55</v>
      </c>
      <c r="W55" s="124"/>
      <c r="X55" s="124" t="s">
        <v>993</v>
      </c>
      <c r="Y55" s="124" t="s">
        <v>843</v>
      </c>
      <c r="Z55" s="406"/>
    </row>
    <row r="56" spans="1:26" ht="15" customHeight="1">
      <c r="A56" s="15">
        <v>56</v>
      </c>
      <c r="B56" s="15"/>
      <c r="C56" s="15"/>
      <c r="D56" s="15" t="s">
        <v>164</v>
      </c>
      <c r="E56" s="15" t="s">
        <v>165</v>
      </c>
      <c r="V56" s="124">
        <v>56</v>
      </c>
      <c r="W56" s="124"/>
      <c r="X56" s="124" t="s">
        <v>994</v>
      </c>
      <c r="Y56" s="124" t="s">
        <v>844</v>
      </c>
      <c r="Z56" s="406"/>
    </row>
    <row r="57" spans="1:26" ht="15" customHeight="1">
      <c r="A57" s="15">
        <v>57</v>
      </c>
      <c r="B57" s="15"/>
      <c r="C57" s="15"/>
      <c r="D57" s="15" t="s">
        <v>167</v>
      </c>
      <c r="E57" s="15" t="s">
        <v>168</v>
      </c>
      <c r="V57" s="124">
        <v>57</v>
      </c>
      <c r="W57" s="124"/>
      <c r="X57" s="124" t="s">
        <v>995</v>
      </c>
      <c r="Y57" s="124" t="s">
        <v>845</v>
      </c>
      <c r="Z57" s="406"/>
    </row>
    <row r="58" spans="1:26" ht="15" customHeight="1">
      <c r="A58" s="15">
        <v>58</v>
      </c>
      <c r="B58" s="15"/>
      <c r="C58" s="15"/>
      <c r="D58" s="15" t="s">
        <v>169</v>
      </c>
      <c r="E58" s="15" t="s">
        <v>170</v>
      </c>
      <c r="V58" s="124">
        <v>58</v>
      </c>
      <c r="W58" s="124"/>
      <c r="X58" s="124" t="s">
        <v>996</v>
      </c>
      <c r="Y58" s="124" t="s">
        <v>846</v>
      </c>
      <c r="Z58" s="406"/>
    </row>
    <row r="59" spans="1:26" ht="15" customHeight="1">
      <c r="A59" s="15">
        <v>59</v>
      </c>
      <c r="B59" s="15"/>
      <c r="C59" s="15"/>
      <c r="D59" s="15" t="s">
        <v>171</v>
      </c>
      <c r="E59" s="15" t="s">
        <v>172</v>
      </c>
      <c r="V59" s="124">
        <v>59</v>
      </c>
      <c r="W59" s="124"/>
      <c r="X59" s="124" t="s">
        <v>997</v>
      </c>
      <c r="Y59" s="124" t="s">
        <v>847</v>
      </c>
      <c r="Z59" s="406"/>
    </row>
    <row r="60" spans="1:26" ht="15" customHeight="1">
      <c r="A60" s="15">
        <v>60</v>
      </c>
      <c r="B60" s="15"/>
      <c r="C60" s="15"/>
      <c r="D60" s="15" t="s">
        <v>173</v>
      </c>
      <c r="E60" s="15" t="s">
        <v>174</v>
      </c>
      <c r="V60" s="124">
        <v>60</v>
      </c>
      <c r="W60" s="124"/>
      <c r="X60" s="124" t="s">
        <v>998</v>
      </c>
      <c r="Y60" s="124" t="s">
        <v>848</v>
      </c>
      <c r="Z60" s="406"/>
    </row>
    <row r="61" spans="1:26" ht="15" customHeight="1">
      <c r="A61" s="15">
        <v>61</v>
      </c>
      <c r="B61" s="15"/>
      <c r="C61" s="15"/>
      <c r="D61" s="15" t="s">
        <v>175</v>
      </c>
      <c r="E61" s="15" t="s">
        <v>176</v>
      </c>
      <c r="V61" s="124">
        <v>61</v>
      </c>
      <c r="W61" s="124"/>
      <c r="X61" s="124" t="s">
        <v>999</v>
      </c>
      <c r="Y61" s="124" t="s">
        <v>849</v>
      </c>
      <c r="Z61" s="406"/>
    </row>
    <row r="62" spans="1:26" ht="15" customHeight="1">
      <c r="A62" s="15">
        <v>62</v>
      </c>
      <c r="B62" s="15"/>
      <c r="C62" s="15"/>
      <c r="D62" s="15" t="s">
        <v>177</v>
      </c>
      <c r="E62" s="15" t="s">
        <v>178</v>
      </c>
      <c r="V62" s="124">
        <v>62</v>
      </c>
      <c r="W62" s="124"/>
      <c r="X62" s="124" t="s">
        <v>1000</v>
      </c>
      <c r="Y62" s="124" t="s">
        <v>850</v>
      </c>
      <c r="Z62" s="406"/>
    </row>
    <row r="63" spans="1:26" ht="15" customHeight="1">
      <c r="A63" s="15">
        <v>63</v>
      </c>
      <c r="B63" s="15"/>
      <c r="C63" s="15"/>
      <c r="D63" s="15" t="s">
        <v>179</v>
      </c>
      <c r="E63" s="15" t="s">
        <v>180</v>
      </c>
      <c r="V63" s="124">
        <v>63</v>
      </c>
      <c r="W63" s="124"/>
      <c r="X63" s="124" t="s">
        <v>1001</v>
      </c>
      <c r="Y63" s="124" t="s">
        <v>851</v>
      </c>
      <c r="Z63" s="406"/>
    </row>
    <row r="64" spans="1:26" ht="15" customHeight="1">
      <c r="A64" s="15">
        <v>64</v>
      </c>
      <c r="B64" s="15"/>
      <c r="C64" s="15"/>
      <c r="D64" s="15" t="s">
        <v>181</v>
      </c>
      <c r="E64" s="15" t="s">
        <v>182</v>
      </c>
      <c r="V64" s="124">
        <v>64</v>
      </c>
      <c r="W64" s="124"/>
      <c r="X64" s="124" t="s">
        <v>1002</v>
      </c>
      <c r="Y64" s="124" t="s">
        <v>852</v>
      </c>
      <c r="Z64" s="406"/>
    </row>
    <row r="65" spans="1:26" ht="15" customHeight="1">
      <c r="A65" s="15">
        <v>65</v>
      </c>
      <c r="B65" s="15"/>
      <c r="C65" s="15"/>
      <c r="D65" s="15" t="s">
        <v>183</v>
      </c>
      <c r="E65" s="15" t="s">
        <v>184</v>
      </c>
      <c r="V65" s="124">
        <v>65</v>
      </c>
      <c r="W65" s="124"/>
      <c r="X65" s="124" t="s">
        <v>1003</v>
      </c>
      <c r="Y65" s="124" t="s">
        <v>853</v>
      </c>
      <c r="Z65" s="406"/>
    </row>
    <row r="66" spans="1:26" ht="15" customHeight="1">
      <c r="A66" s="15">
        <v>66</v>
      </c>
      <c r="B66" s="15"/>
      <c r="C66" s="15"/>
      <c r="D66" s="15" t="s">
        <v>185</v>
      </c>
      <c r="E66" s="15" t="s">
        <v>186</v>
      </c>
      <c r="V66" s="124">
        <v>66</v>
      </c>
      <c r="W66" s="124"/>
      <c r="X66" s="124" t="s">
        <v>1004</v>
      </c>
      <c r="Y66" s="124" t="s">
        <v>854</v>
      </c>
      <c r="Z66" s="406"/>
    </row>
    <row r="67" spans="1:26" ht="15" customHeight="1">
      <c r="A67" s="15">
        <v>67</v>
      </c>
      <c r="B67" s="15"/>
      <c r="C67" s="15"/>
      <c r="D67" s="15" t="s">
        <v>187</v>
      </c>
      <c r="E67" s="15" t="s">
        <v>188</v>
      </c>
      <c r="V67" s="124">
        <v>67</v>
      </c>
      <c r="W67" s="124"/>
      <c r="X67" s="124" t="s">
        <v>1005</v>
      </c>
      <c r="Y67" s="124" t="s">
        <v>855</v>
      </c>
      <c r="Z67" s="406"/>
    </row>
    <row r="68" spans="1:26" ht="15" customHeight="1">
      <c r="A68" s="15">
        <v>68</v>
      </c>
      <c r="B68" s="15"/>
      <c r="C68" s="15"/>
      <c r="D68" s="15" t="s">
        <v>189</v>
      </c>
      <c r="E68" s="15" t="s">
        <v>190</v>
      </c>
      <c r="V68" s="124">
        <v>68</v>
      </c>
      <c r="W68" s="124"/>
      <c r="X68" s="124" t="s">
        <v>1006</v>
      </c>
      <c r="Y68" s="124" t="s">
        <v>856</v>
      </c>
      <c r="Z68" s="406"/>
    </row>
    <row r="69" spans="1:26" ht="15" customHeight="1">
      <c r="A69" s="15">
        <v>69</v>
      </c>
      <c r="B69" s="15"/>
      <c r="C69" s="15"/>
      <c r="D69" s="15" t="s">
        <v>191</v>
      </c>
      <c r="E69" s="15" t="s">
        <v>192</v>
      </c>
      <c r="V69" s="124">
        <v>69</v>
      </c>
      <c r="W69" s="124"/>
      <c r="X69" s="124" t="s">
        <v>1007</v>
      </c>
      <c r="Y69" s="124" t="s">
        <v>857</v>
      </c>
      <c r="Z69" s="406"/>
    </row>
    <row r="70" spans="1:26" ht="15" customHeight="1">
      <c r="A70" s="15">
        <v>70</v>
      </c>
      <c r="B70" s="15"/>
      <c r="C70" s="15"/>
      <c r="D70" s="15" t="s">
        <v>193</v>
      </c>
      <c r="E70" s="15" t="s">
        <v>194</v>
      </c>
      <c r="V70" s="124">
        <v>70</v>
      </c>
      <c r="W70" s="124"/>
      <c r="X70" s="124" t="s">
        <v>1008</v>
      </c>
      <c r="Y70" s="124" t="s">
        <v>858</v>
      </c>
      <c r="Z70" s="406"/>
    </row>
    <row r="71" spans="1:26" ht="15" customHeight="1">
      <c r="A71" s="15">
        <v>71</v>
      </c>
      <c r="B71" s="15"/>
      <c r="C71" s="15"/>
      <c r="D71" s="15" t="s">
        <v>195</v>
      </c>
      <c r="E71" s="15" t="s">
        <v>196</v>
      </c>
      <c r="V71" s="124">
        <v>71</v>
      </c>
      <c r="W71" s="124"/>
      <c r="X71" s="124" t="s">
        <v>1009</v>
      </c>
      <c r="Y71" s="124" t="s">
        <v>859</v>
      </c>
      <c r="Z71" s="406"/>
    </row>
    <row r="72" spans="1:26" ht="15" customHeight="1">
      <c r="A72" s="15">
        <v>72</v>
      </c>
      <c r="B72" s="15"/>
      <c r="C72" s="15"/>
      <c r="D72" s="15" t="s">
        <v>197</v>
      </c>
      <c r="E72" s="15" t="s">
        <v>198</v>
      </c>
      <c r="V72" s="124">
        <v>72</v>
      </c>
      <c r="W72" s="124"/>
      <c r="X72" s="124" t="s">
        <v>1010</v>
      </c>
      <c r="Y72" s="124" t="s">
        <v>860</v>
      </c>
      <c r="Z72" s="406"/>
    </row>
    <row r="73" spans="1:26" ht="15" customHeight="1">
      <c r="A73" s="15">
        <v>73</v>
      </c>
      <c r="B73" s="15"/>
      <c r="C73" s="15"/>
      <c r="D73" s="15" t="s">
        <v>199</v>
      </c>
      <c r="E73" s="15" t="s">
        <v>200</v>
      </c>
      <c r="V73" s="124">
        <v>73</v>
      </c>
      <c r="W73" s="124"/>
      <c r="X73" s="124" t="s">
        <v>1011</v>
      </c>
      <c r="Y73" s="124" t="s">
        <v>861</v>
      </c>
      <c r="Z73" s="406"/>
    </row>
    <row r="74" spans="1:26" ht="15" customHeight="1">
      <c r="A74" s="15">
        <v>74</v>
      </c>
      <c r="B74" s="15"/>
      <c r="C74" s="15"/>
      <c r="D74" s="15" t="s">
        <v>201</v>
      </c>
      <c r="E74" s="15" t="s">
        <v>202</v>
      </c>
      <c r="V74" s="124">
        <v>74</v>
      </c>
      <c r="W74" s="124"/>
      <c r="X74" s="124" t="s">
        <v>1012</v>
      </c>
      <c r="Y74" s="124" t="s">
        <v>862</v>
      </c>
      <c r="Z74" s="406"/>
    </row>
    <row r="75" spans="1:26" ht="15" customHeight="1">
      <c r="A75" s="15">
        <v>75</v>
      </c>
      <c r="B75" s="15"/>
      <c r="C75" s="15"/>
      <c r="D75" s="15" t="s">
        <v>203</v>
      </c>
      <c r="E75" s="15" t="s">
        <v>204</v>
      </c>
      <c r="V75" s="124">
        <v>75</v>
      </c>
      <c r="W75" s="124"/>
      <c r="X75" s="124" t="s">
        <v>1013</v>
      </c>
      <c r="Y75" s="124" t="s">
        <v>863</v>
      </c>
      <c r="Z75" s="406"/>
    </row>
    <row r="76" spans="1:26" ht="15" customHeight="1">
      <c r="A76" s="15">
        <v>76</v>
      </c>
      <c r="B76" s="15"/>
      <c r="C76" s="15"/>
      <c r="D76" s="15" t="s">
        <v>205</v>
      </c>
      <c r="E76" s="15" t="s">
        <v>206</v>
      </c>
      <c r="V76" s="124">
        <v>76</v>
      </c>
      <c r="W76" s="124"/>
      <c r="X76" s="124" t="s">
        <v>1014</v>
      </c>
      <c r="Y76" s="124" t="s">
        <v>864</v>
      </c>
      <c r="Z76" s="406"/>
    </row>
    <row r="77" spans="1:26" ht="15" customHeight="1">
      <c r="A77" s="15">
        <v>77</v>
      </c>
      <c r="B77" s="15"/>
      <c r="C77" s="15"/>
      <c r="D77" s="15" t="s">
        <v>207</v>
      </c>
      <c r="E77" s="15" t="s">
        <v>208</v>
      </c>
      <c r="V77" s="124">
        <v>77</v>
      </c>
      <c r="W77" s="124"/>
      <c r="X77" s="124" t="s">
        <v>1015</v>
      </c>
      <c r="Y77" s="124" t="s">
        <v>865</v>
      </c>
      <c r="Z77" s="406"/>
    </row>
    <row r="78" spans="1:26" ht="15" customHeight="1">
      <c r="A78" s="15">
        <v>78</v>
      </c>
      <c r="B78" s="15"/>
      <c r="C78" s="15"/>
      <c r="D78" s="15" t="s">
        <v>209</v>
      </c>
      <c r="E78" s="15" t="s">
        <v>210</v>
      </c>
      <c r="V78" s="124">
        <v>78</v>
      </c>
      <c r="W78" s="124"/>
      <c r="X78" s="124" t="s">
        <v>1016</v>
      </c>
      <c r="Y78" s="124" t="s">
        <v>866</v>
      </c>
      <c r="Z78" s="406"/>
    </row>
    <row r="79" spans="1:26" ht="15" customHeight="1">
      <c r="A79" s="15">
        <v>79</v>
      </c>
      <c r="B79" s="15"/>
      <c r="C79" s="15"/>
      <c r="D79" s="15" t="s">
        <v>211</v>
      </c>
      <c r="E79" s="15" t="s">
        <v>212</v>
      </c>
      <c r="V79" s="124">
        <v>79</v>
      </c>
      <c r="W79" s="124"/>
      <c r="X79" s="124" t="s">
        <v>1017</v>
      </c>
      <c r="Y79" s="124" t="s">
        <v>867</v>
      </c>
      <c r="Z79" s="406"/>
    </row>
    <row r="80" spans="1:26" ht="15" customHeight="1">
      <c r="A80" s="15">
        <v>80</v>
      </c>
      <c r="B80" s="15"/>
      <c r="C80" s="15"/>
      <c r="D80" s="15" t="s">
        <v>213</v>
      </c>
      <c r="E80" s="15" t="s">
        <v>214</v>
      </c>
      <c r="V80" s="124">
        <v>80</v>
      </c>
      <c r="W80" s="124"/>
      <c r="X80" s="124" t="s">
        <v>1018</v>
      </c>
      <c r="Y80" s="124" t="s">
        <v>868</v>
      </c>
      <c r="Z80" s="406"/>
    </row>
    <row r="81" spans="1:26" ht="15" customHeight="1">
      <c r="A81" s="15">
        <v>81</v>
      </c>
      <c r="B81" s="15"/>
      <c r="C81" s="15"/>
      <c r="D81" s="15" t="s">
        <v>215</v>
      </c>
      <c r="E81" s="15" t="s">
        <v>216</v>
      </c>
      <c r="V81" s="124">
        <v>81</v>
      </c>
      <c r="W81" s="124"/>
      <c r="X81" s="124" t="s">
        <v>1019</v>
      </c>
      <c r="Y81" s="124" t="s">
        <v>869</v>
      </c>
      <c r="Z81" s="406"/>
    </row>
    <row r="82" spans="1:26" ht="15" customHeight="1">
      <c r="A82" s="15">
        <v>82</v>
      </c>
      <c r="B82" s="15"/>
      <c r="C82" s="15"/>
      <c r="D82" s="15" t="s">
        <v>217</v>
      </c>
      <c r="E82" s="15" t="s">
        <v>218</v>
      </c>
      <c r="V82" s="124">
        <v>82</v>
      </c>
      <c r="W82" s="124"/>
      <c r="X82" s="124" t="s">
        <v>1020</v>
      </c>
      <c r="Y82" s="124" t="s">
        <v>870</v>
      </c>
      <c r="Z82" s="406"/>
    </row>
    <row r="83" spans="1:26" ht="15" customHeight="1">
      <c r="A83" s="15">
        <v>83</v>
      </c>
      <c r="B83" s="15"/>
      <c r="C83" s="15"/>
      <c r="D83" s="15" t="s">
        <v>219</v>
      </c>
      <c r="E83" s="15" t="s">
        <v>220</v>
      </c>
      <c r="V83" s="124">
        <v>83</v>
      </c>
      <c r="W83" s="124"/>
      <c r="X83" s="124" t="s">
        <v>1021</v>
      </c>
      <c r="Y83" s="124" t="s">
        <v>871</v>
      </c>
      <c r="Z83" s="406"/>
    </row>
    <row r="84" spans="1:26" ht="15" customHeight="1">
      <c r="A84" s="15">
        <v>84</v>
      </c>
      <c r="B84" s="15"/>
      <c r="C84" s="15"/>
      <c r="D84" s="15" t="s">
        <v>221</v>
      </c>
      <c r="E84" s="15" t="s">
        <v>222</v>
      </c>
      <c r="V84" s="124">
        <v>84</v>
      </c>
      <c r="W84" s="124"/>
      <c r="X84" s="124" t="s">
        <v>1022</v>
      </c>
      <c r="Y84" s="124" t="s">
        <v>872</v>
      </c>
      <c r="Z84" s="406"/>
    </row>
    <row r="85" spans="1:26" ht="15" customHeight="1">
      <c r="A85" s="15">
        <v>85</v>
      </c>
      <c r="B85" s="15"/>
      <c r="C85" s="15"/>
      <c r="D85" s="15" t="s">
        <v>223</v>
      </c>
      <c r="E85" s="15" t="s">
        <v>224</v>
      </c>
      <c r="V85" s="124">
        <v>85</v>
      </c>
      <c r="W85" s="124"/>
      <c r="X85" s="124" t="s">
        <v>1023</v>
      </c>
      <c r="Y85" s="124" t="s">
        <v>873</v>
      </c>
      <c r="Z85" s="406"/>
    </row>
    <row r="86" spans="1:26" ht="15" customHeight="1">
      <c r="A86" s="15">
        <v>86</v>
      </c>
      <c r="B86" s="15"/>
      <c r="C86" s="15"/>
      <c r="D86" s="15" t="s">
        <v>225</v>
      </c>
      <c r="E86" s="15" t="s">
        <v>226</v>
      </c>
      <c r="V86" s="124">
        <v>86</v>
      </c>
      <c r="W86" s="124"/>
      <c r="X86" s="124" t="s">
        <v>1024</v>
      </c>
      <c r="Y86" s="124" t="s">
        <v>874</v>
      </c>
      <c r="Z86" s="406"/>
    </row>
    <row r="87" spans="1:26" ht="15" customHeight="1">
      <c r="A87" s="15">
        <v>87</v>
      </c>
      <c r="B87" s="15"/>
      <c r="C87" s="15"/>
      <c r="D87" s="15" t="s">
        <v>227</v>
      </c>
      <c r="E87" s="15" t="s">
        <v>228</v>
      </c>
      <c r="V87" s="124">
        <v>87</v>
      </c>
      <c r="W87" s="124"/>
      <c r="X87" s="124" t="s">
        <v>1025</v>
      </c>
      <c r="Y87" s="124" t="s">
        <v>875</v>
      </c>
      <c r="Z87" s="406"/>
    </row>
    <row r="88" spans="1:26" ht="15" customHeight="1">
      <c r="A88" s="15">
        <v>88</v>
      </c>
      <c r="B88" s="15"/>
      <c r="C88" s="15"/>
      <c r="D88" s="15" t="s">
        <v>229</v>
      </c>
      <c r="E88" s="15" t="s">
        <v>230</v>
      </c>
      <c r="V88" s="124">
        <v>88</v>
      </c>
      <c r="W88" s="124"/>
      <c r="X88" s="124" t="s">
        <v>1026</v>
      </c>
      <c r="Y88" s="124" t="s">
        <v>876</v>
      </c>
      <c r="Z88" s="406"/>
    </row>
    <row r="89" spans="1:26" ht="15" customHeight="1">
      <c r="A89" s="15">
        <v>89</v>
      </c>
      <c r="B89" s="15"/>
      <c r="C89" s="15"/>
      <c r="D89" s="15" t="s">
        <v>231</v>
      </c>
      <c r="E89" s="15" t="s">
        <v>232</v>
      </c>
      <c r="V89" s="124">
        <v>89</v>
      </c>
      <c r="W89" s="124"/>
      <c r="X89" s="124" t="s">
        <v>1027</v>
      </c>
      <c r="Y89" s="124" t="s">
        <v>877</v>
      </c>
      <c r="Z89" s="406"/>
    </row>
    <row r="90" spans="1:26" ht="15" customHeight="1">
      <c r="A90" s="15">
        <v>90</v>
      </c>
      <c r="B90" s="15"/>
      <c r="C90" s="15"/>
      <c r="D90" s="15" t="s">
        <v>233</v>
      </c>
      <c r="E90" s="15" t="s">
        <v>234</v>
      </c>
      <c r="V90" s="124">
        <v>90</v>
      </c>
      <c r="W90" s="124"/>
      <c r="X90" s="124" t="s">
        <v>1028</v>
      </c>
      <c r="Y90" s="124" t="s">
        <v>878</v>
      </c>
      <c r="Z90" s="406"/>
    </row>
    <row r="91" spans="1:26" ht="15" customHeight="1">
      <c r="A91" s="15">
        <v>91</v>
      </c>
      <c r="B91" s="15"/>
      <c r="C91" s="15"/>
      <c r="D91" s="15" t="s">
        <v>235</v>
      </c>
      <c r="E91" s="15" t="s">
        <v>236</v>
      </c>
      <c r="V91" s="124">
        <v>91</v>
      </c>
      <c r="W91" s="124"/>
      <c r="X91" s="124" t="s">
        <v>1029</v>
      </c>
      <c r="Y91" s="124" t="s">
        <v>879</v>
      </c>
      <c r="Z91" s="406"/>
    </row>
    <row r="92" spans="1:26" ht="15" customHeight="1">
      <c r="A92" s="15">
        <v>92</v>
      </c>
      <c r="B92" s="15"/>
      <c r="C92" s="15"/>
      <c r="D92" s="15" t="s">
        <v>237</v>
      </c>
      <c r="E92" s="15" t="s">
        <v>238</v>
      </c>
      <c r="V92" s="124">
        <v>92</v>
      </c>
      <c r="W92" s="124"/>
      <c r="X92" s="124" t="s">
        <v>1030</v>
      </c>
      <c r="Y92" s="124" t="s">
        <v>880</v>
      </c>
      <c r="Z92" s="406"/>
    </row>
    <row r="93" spans="1:26" ht="15" customHeight="1">
      <c r="A93" s="15">
        <v>93</v>
      </c>
      <c r="B93" s="15"/>
      <c r="C93" s="15"/>
      <c r="D93" s="15" t="s">
        <v>239</v>
      </c>
      <c r="E93" s="15" t="s">
        <v>240</v>
      </c>
      <c r="V93" s="124">
        <v>93</v>
      </c>
      <c r="W93" s="124"/>
      <c r="X93" s="124" t="s">
        <v>1031</v>
      </c>
      <c r="Y93" s="124" t="s">
        <v>881</v>
      </c>
      <c r="Z93" s="406"/>
    </row>
    <row r="94" spans="1:26" ht="15" customHeight="1">
      <c r="A94" s="15">
        <v>94</v>
      </c>
      <c r="B94" s="15"/>
      <c r="C94" s="15"/>
      <c r="D94" s="15" t="s">
        <v>241</v>
      </c>
      <c r="E94" s="15" t="s">
        <v>242</v>
      </c>
      <c r="V94" s="124">
        <v>94</v>
      </c>
      <c r="W94" s="124"/>
      <c r="X94" s="124" t="s">
        <v>1032</v>
      </c>
      <c r="Y94" s="124" t="s">
        <v>882</v>
      </c>
      <c r="Z94" s="406"/>
    </row>
    <row r="95" spans="1:26" ht="15" customHeight="1">
      <c r="A95" s="15">
        <v>95</v>
      </c>
      <c r="B95" s="15"/>
      <c r="C95" s="15"/>
      <c r="D95" s="15" t="s">
        <v>243</v>
      </c>
      <c r="E95" s="15" t="s">
        <v>244</v>
      </c>
      <c r="V95" s="124">
        <v>95</v>
      </c>
      <c r="W95" s="124"/>
      <c r="X95" s="124" t="s">
        <v>1033</v>
      </c>
      <c r="Y95" s="124" t="s">
        <v>883</v>
      </c>
      <c r="Z95" s="406"/>
    </row>
    <row r="96" spans="1:26" ht="15" customHeight="1">
      <c r="A96" s="15">
        <v>96</v>
      </c>
      <c r="B96" s="15"/>
      <c r="C96" s="15"/>
      <c r="D96" s="15" t="s">
        <v>245</v>
      </c>
      <c r="E96" s="15" t="s">
        <v>246</v>
      </c>
      <c r="V96" s="124">
        <v>96</v>
      </c>
      <c r="W96" s="124"/>
      <c r="X96" s="124" t="s">
        <v>1034</v>
      </c>
      <c r="Y96" s="124" t="s">
        <v>884</v>
      </c>
      <c r="Z96" s="406"/>
    </row>
    <row r="97" spans="1:26" ht="15" customHeight="1">
      <c r="A97" s="15">
        <v>97</v>
      </c>
      <c r="B97" s="15"/>
      <c r="C97" s="15"/>
      <c r="D97" s="15" t="s">
        <v>247</v>
      </c>
      <c r="E97" s="15" t="s">
        <v>248</v>
      </c>
      <c r="V97" s="124">
        <v>97</v>
      </c>
      <c r="W97" s="124"/>
      <c r="X97" s="124" t="s">
        <v>1035</v>
      </c>
      <c r="Y97" s="124" t="s">
        <v>885</v>
      </c>
      <c r="Z97" s="406"/>
    </row>
    <row r="98" spans="1:26" ht="15" customHeight="1">
      <c r="A98" s="15">
        <v>98</v>
      </c>
      <c r="B98" s="15"/>
      <c r="C98" s="15"/>
      <c r="D98" s="15" t="s">
        <v>249</v>
      </c>
      <c r="E98" s="15" t="s">
        <v>250</v>
      </c>
      <c r="V98" s="124">
        <v>98</v>
      </c>
      <c r="W98" s="124"/>
      <c r="X98" s="124" t="s">
        <v>1036</v>
      </c>
      <c r="Y98" s="124" t="s">
        <v>886</v>
      </c>
      <c r="Z98" s="406"/>
    </row>
    <row r="99" spans="1:26" ht="15" customHeight="1">
      <c r="A99" s="15">
        <v>99</v>
      </c>
      <c r="B99" s="15"/>
      <c r="C99" s="15"/>
      <c r="D99" s="15" t="s">
        <v>251</v>
      </c>
      <c r="E99" s="15" t="s">
        <v>252</v>
      </c>
      <c r="V99" s="124">
        <v>99</v>
      </c>
      <c r="W99" s="124"/>
      <c r="X99" s="124" t="s">
        <v>1037</v>
      </c>
      <c r="Y99" s="124" t="s">
        <v>887</v>
      </c>
      <c r="Z99" s="406"/>
    </row>
    <row r="100" spans="1:26" ht="15" customHeight="1">
      <c r="A100" s="15">
        <v>100</v>
      </c>
      <c r="B100" s="15"/>
      <c r="C100" s="15"/>
      <c r="D100" s="15" t="s">
        <v>253</v>
      </c>
      <c r="E100" s="15" t="s">
        <v>254</v>
      </c>
      <c r="V100" s="124">
        <v>100</v>
      </c>
      <c r="W100" s="124"/>
      <c r="X100" s="124" t="s">
        <v>1038</v>
      </c>
      <c r="Y100" s="124" t="s">
        <v>888</v>
      </c>
      <c r="Z100" s="406"/>
    </row>
    <row r="101" spans="1:26" ht="15" customHeight="1">
      <c r="A101" s="15">
        <v>101</v>
      </c>
      <c r="B101" s="15"/>
      <c r="C101" s="15"/>
      <c r="D101" s="15" t="s">
        <v>255</v>
      </c>
      <c r="E101" s="15" t="s">
        <v>256</v>
      </c>
      <c r="V101" s="124">
        <v>101</v>
      </c>
      <c r="W101" s="124"/>
      <c r="X101" s="124" t="s">
        <v>1039</v>
      </c>
      <c r="Y101" s="124" t="s">
        <v>889</v>
      </c>
      <c r="Z101" s="406"/>
    </row>
    <row r="102" spans="1:26" ht="15" customHeight="1">
      <c r="A102" s="15">
        <v>102</v>
      </c>
      <c r="B102" s="15"/>
      <c r="C102" s="15"/>
      <c r="D102" s="15" t="s">
        <v>257</v>
      </c>
      <c r="E102" s="15" t="s">
        <v>258</v>
      </c>
      <c r="V102" s="124">
        <v>102</v>
      </c>
      <c r="W102" s="124"/>
      <c r="X102" s="124" t="s">
        <v>1040</v>
      </c>
      <c r="Y102" s="124" t="s">
        <v>890</v>
      </c>
      <c r="Z102" s="406"/>
    </row>
    <row r="103" spans="1:26" ht="15" customHeight="1">
      <c r="A103" s="15">
        <v>103</v>
      </c>
      <c r="B103" s="15"/>
      <c r="C103" s="15"/>
      <c r="D103" s="15" t="s">
        <v>259</v>
      </c>
      <c r="E103" s="15" t="s">
        <v>260</v>
      </c>
      <c r="V103" s="124">
        <v>103</v>
      </c>
      <c r="W103" s="124"/>
      <c r="X103" s="124" t="s">
        <v>1041</v>
      </c>
      <c r="Y103" s="124" t="s">
        <v>891</v>
      </c>
      <c r="Z103" s="406"/>
    </row>
    <row r="104" spans="1:26" ht="15" customHeight="1">
      <c r="A104" s="15">
        <v>104</v>
      </c>
      <c r="B104" s="15"/>
      <c r="C104" s="15"/>
      <c r="D104" s="15" t="s">
        <v>261</v>
      </c>
      <c r="E104" s="15" t="s">
        <v>262</v>
      </c>
      <c r="V104" s="124">
        <v>104</v>
      </c>
      <c r="W104" s="124"/>
      <c r="X104" s="124" t="s">
        <v>1042</v>
      </c>
      <c r="Y104" s="124" t="s">
        <v>892</v>
      </c>
      <c r="Z104" s="406"/>
    </row>
    <row r="105" spans="1:26" ht="15" customHeight="1">
      <c r="A105" s="15">
        <v>105</v>
      </c>
      <c r="B105" s="15"/>
      <c r="C105" s="15"/>
      <c r="D105" s="15" t="s">
        <v>263</v>
      </c>
      <c r="E105" s="15" t="s">
        <v>264</v>
      </c>
      <c r="V105" s="124">
        <v>105</v>
      </c>
      <c r="W105" s="124"/>
      <c r="X105" s="124" t="s">
        <v>1043</v>
      </c>
      <c r="Y105" s="124" t="s">
        <v>893</v>
      </c>
      <c r="Z105" s="406"/>
    </row>
    <row r="106" spans="1:26" ht="15" customHeight="1">
      <c r="A106" s="15">
        <v>106</v>
      </c>
      <c r="B106" s="15"/>
      <c r="C106" s="15"/>
      <c r="D106" s="15" t="s">
        <v>265</v>
      </c>
      <c r="E106" s="15" t="s">
        <v>266</v>
      </c>
      <c r="V106" s="124">
        <v>106</v>
      </c>
      <c r="W106" s="124"/>
      <c r="X106" s="124" t="s">
        <v>1044</v>
      </c>
      <c r="Y106" s="124" t="s">
        <v>894</v>
      </c>
      <c r="Z106" s="406"/>
    </row>
    <row r="107" spans="1:26" ht="15" customHeight="1">
      <c r="A107" s="15">
        <v>107</v>
      </c>
      <c r="B107" s="15"/>
      <c r="C107" s="15"/>
      <c r="D107" s="15" t="s">
        <v>267</v>
      </c>
      <c r="E107" s="15" t="s">
        <v>268</v>
      </c>
      <c r="V107" s="124">
        <v>107</v>
      </c>
      <c r="W107" s="124"/>
      <c r="X107" s="124" t="s">
        <v>1045</v>
      </c>
      <c r="Y107" s="124" t="s">
        <v>895</v>
      </c>
      <c r="Z107" s="406"/>
    </row>
    <row r="108" spans="1:26" ht="15" customHeight="1">
      <c r="A108" s="15">
        <v>108</v>
      </c>
      <c r="B108" s="15"/>
      <c r="C108" s="15"/>
      <c r="D108" s="15" t="s">
        <v>269</v>
      </c>
      <c r="E108" s="15" t="s">
        <v>270</v>
      </c>
      <c r="V108" s="124">
        <v>108</v>
      </c>
      <c r="W108" s="124"/>
      <c r="X108" s="124" t="s">
        <v>1046</v>
      </c>
      <c r="Y108" s="124" t="s">
        <v>896</v>
      </c>
      <c r="Z108" s="406"/>
    </row>
    <row r="109" spans="1:26" ht="15" customHeight="1">
      <c r="A109" s="15">
        <v>109</v>
      </c>
      <c r="B109" s="15"/>
      <c r="C109" s="15"/>
      <c r="D109" s="15" t="s">
        <v>271</v>
      </c>
      <c r="E109" s="15" t="s">
        <v>272</v>
      </c>
      <c r="V109" s="124">
        <v>109</v>
      </c>
      <c r="W109" s="124"/>
      <c r="X109" s="124" t="s">
        <v>1047</v>
      </c>
      <c r="Y109" s="124" t="s">
        <v>897</v>
      </c>
      <c r="Z109" s="406"/>
    </row>
    <row r="110" spans="1:26" ht="15" customHeight="1">
      <c r="A110" s="15">
        <v>110</v>
      </c>
      <c r="B110" s="15"/>
      <c r="C110" s="15"/>
      <c r="D110" s="15" t="s">
        <v>273</v>
      </c>
      <c r="E110" s="15" t="s">
        <v>274</v>
      </c>
      <c r="V110" s="124">
        <v>110</v>
      </c>
      <c r="W110" s="124"/>
      <c r="X110" s="124" t="s">
        <v>1048</v>
      </c>
      <c r="Y110" s="124" t="s">
        <v>898</v>
      </c>
      <c r="Z110" s="406"/>
    </row>
    <row r="111" spans="1:26" ht="15" customHeight="1">
      <c r="A111" s="15">
        <v>111</v>
      </c>
      <c r="B111" s="15"/>
      <c r="C111" s="15"/>
      <c r="D111" s="15" t="s">
        <v>275</v>
      </c>
      <c r="E111" s="15" t="s">
        <v>276</v>
      </c>
      <c r="V111" s="124">
        <v>111</v>
      </c>
      <c r="W111" s="124"/>
      <c r="X111" s="124" t="s">
        <v>1049</v>
      </c>
      <c r="Y111" s="124" t="s">
        <v>899</v>
      </c>
      <c r="Z111" s="406"/>
    </row>
    <row r="112" spans="1:26" ht="15" customHeight="1">
      <c r="A112" s="15">
        <v>112</v>
      </c>
      <c r="B112" s="15"/>
      <c r="C112" s="15"/>
      <c r="D112" s="15" t="s">
        <v>277</v>
      </c>
      <c r="E112" s="15" t="s">
        <v>278</v>
      </c>
      <c r="V112" s="124">
        <v>112</v>
      </c>
      <c r="W112" s="124"/>
      <c r="X112" s="124" t="s">
        <v>1050</v>
      </c>
      <c r="Y112" s="124" t="s">
        <v>900</v>
      </c>
      <c r="Z112" s="406"/>
    </row>
    <row r="113" spans="1:26" ht="15" customHeight="1">
      <c r="A113" s="15">
        <v>113</v>
      </c>
      <c r="B113" s="15"/>
      <c r="C113" s="15"/>
      <c r="D113" s="15" t="s">
        <v>279</v>
      </c>
      <c r="E113" s="15" t="s">
        <v>280</v>
      </c>
      <c r="V113" s="124">
        <v>113</v>
      </c>
      <c r="W113" s="124"/>
      <c r="X113" s="124" t="s">
        <v>1051</v>
      </c>
      <c r="Y113" s="124" t="s">
        <v>901</v>
      </c>
      <c r="Z113" s="406"/>
    </row>
    <row r="114" spans="1:26" ht="15" customHeight="1">
      <c r="A114" s="15">
        <v>114</v>
      </c>
      <c r="B114" s="15"/>
      <c r="C114" s="15"/>
      <c r="D114" s="15" t="s">
        <v>281</v>
      </c>
      <c r="E114" s="15" t="s">
        <v>282</v>
      </c>
      <c r="V114" s="124">
        <v>114</v>
      </c>
      <c r="W114" s="124"/>
      <c r="X114" s="124" t="s">
        <v>1052</v>
      </c>
      <c r="Y114" s="124" t="s">
        <v>902</v>
      </c>
      <c r="Z114" s="406"/>
    </row>
    <row r="115" spans="1:26" ht="15" customHeight="1">
      <c r="A115" s="15">
        <v>115</v>
      </c>
      <c r="B115" s="15"/>
      <c r="C115" s="15"/>
      <c r="D115" s="15" t="s">
        <v>283</v>
      </c>
      <c r="E115" s="15" t="s">
        <v>284</v>
      </c>
      <c r="V115" s="124">
        <v>115</v>
      </c>
      <c r="W115" s="124"/>
      <c r="X115" s="124" t="s">
        <v>1053</v>
      </c>
      <c r="Y115" s="124" t="s">
        <v>903</v>
      </c>
      <c r="Z115" s="406"/>
    </row>
    <row r="116" spans="1:26" ht="15" customHeight="1">
      <c r="A116" s="15">
        <v>116</v>
      </c>
      <c r="B116" s="15"/>
      <c r="C116" s="15"/>
      <c r="D116" s="15" t="s">
        <v>285</v>
      </c>
      <c r="E116" s="15" t="s">
        <v>286</v>
      </c>
      <c r="V116" s="124">
        <v>116</v>
      </c>
      <c r="W116" s="124"/>
      <c r="X116" s="124" t="s">
        <v>1054</v>
      </c>
      <c r="Y116" s="124" t="s">
        <v>904</v>
      </c>
      <c r="Z116" s="406"/>
    </row>
    <row r="117" spans="1:26" ht="15" customHeight="1">
      <c r="A117" s="15">
        <v>117</v>
      </c>
      <c r="B117" s="15"/>
      <c r="C117" s="15"/>
      <c r="D117" s="15" t="s">
        <v>287</v>
      </c>
      <c r="E117" s="15" t="s">
        <v>288</v>
      </c>
      <c r="V117" s="124">
        <v>117</v>
      </c>
      <c r="W117" s="124"/>
      <c r="X117" s="124" t="s">
        <v>1055</v>
      </c>
      <c r="Y117" s="124" t="s">
        <v>905</v>
      </c>
      <c r="Z117" s="406"/>
    </row>
    <row r="118" spans="1:26" ht="15" customHeight="1">
      <c r="A118" s="15">
        <v>118</v>
      </c>
      <c r="B118" s="15"/>
      <c r="C118" s="15"/>
      <c r="D118" s="15" t="s">
        <v>289</v>
      </c>
      <c r="E118" s="15" t="s">
        <v>290</v>
      </c>
      <c r="V118" s="124">
        <v>118</v>
      </c>
      <c r="W118" s="124"/>
      <c r="X118" s="124" t="s">
        <v>1056</v>
      </c>
      <c r="Y118" s="124" t="s">
        <v>906</v>
      </c>
      <c r="Z118" s="406"/>
    </row>
    <row r="119" spans="1:26" ht="15" customHeight="1">
      <c r="A119" s="15">
        <v>119</v>
      </c>
      <c r="B119" s="15"/>
      <c r="C119" s="15"/>
      <c r="D119" s="15" t="s">
        <v>291</v>
      </c>
      <c r="E119" s="15" t="s">
        <v>292</v>
      </c>
      <c r="V119" s="124">
        <v>119</v>
      </c>
      <c r="W119" s="124"/>
      <c r="X119" s="124" t="s">
        <v>1057</v>
      </c>
      <c r="Y119" s="124" t="s">
        <v>907</v>
      </c>
      <c r="Z119" s="406"/>
    </row>
    <row r="120" spans="1:26" ht="15" customHeight="1">
      <c r="A120" s="15">
        <v>120</v>
      </c>
      <c r="B120" s="15"/>
      <c r="C120" s="15"/>
      <c r="D120" s="15" t="s">
        <v>293</v>
      </c>
      <c r="E120" s="15" t="s">
        <v>294</v>
      </c>
      <c r="V120" s="124">
        <v>120</v>
      </c>
      <c r="W120" s="124"/>
      <c r="X120" s="124" t="s">
        <v>1058</v>
      </c>
      <c r="Y120" s="124" t="s">
        <v>908</v>
      </c>
      <c r="Z120" s="406"/>
    </row>
    <row r="121" spans="1:26" ht="15" customHeight="1">
      <c r="A121" s="15">
        <v>121</v>
      </c>
      <c r="B121" s="15"/>
      <c r="C121" s="15"/>
      <c r="D121" s="15" t="s">
        <v>295</v>
      </c>
      <c r="E121" s="15" t="s">
        <v>296</v>
      </c>
      <c r="V121" s="124">
        <v>121</v>
      </c>
      <c r="W121" s="124"/>
      <c r="X121" s="124" t="s">
        <v>1059</v>
      </c>
      <c r="Y121" s="124" t="s">
        <v>909</v>
      </c>
      <c r="Z121" s="406"/>
    </row>
    <row r="122" spans="1:26" ht="15" customHeight="1">
      <c r="A122" s="15">
        <v>122</v>
      </c>
      <c r="B122" s="15"/>
      <c r="C122" s="15"/>
      <c r="D122" s="15" t="s">
        <v>297</v>
      </c>
      <c r="E122" s="15" t="s">
        <v>298</v>
      </c>
      <c r="V122" s="124">
        <v>122</v>
      </c>
      <c r="W122" s="124"/>
      <c r="X122" s="124" t="s">
        <v>1060</v>
      </c>
      <c r="Y122" s="124" t="s">
        <v>910</v>
      </c>
      <c r="Z122" s="406"/>
    </row>
    <row r="123" spans="1:26" ht="15" customHeight="1">
      <c r="A123" s="15">
        <v>123</v>
      </c>
      <c r="B123" s="15"/>
      <c r="C123" s="15"/>
      <c r="D123" s="15" t="s">
        <v>299</v>
      </c>
      <c r="E123" s="15" t="s">
        <v>300</v>
      </c>
      <c r="V123" s="124">
        <v>123</v>
      </c>
      <c r="W123" s="124"/>
      <c r="X123" s="124" t="s">
        <v>1061</v>
      </c>
      <c r="Y123" s="124" t="s">
        <v>911</v>
      </c>
      <c r="Z123" s="406"/>
    </row>
    <row r="124" spans="1:26" ht="15" customHeight="1">
      <c r="A124" s="15">
        <v>124</v>
      </c>
      <c r="B124" s="15"/>
      <c r="C124" s="15"/>
      <c r="D124" s="15" t="s">
        <v>301</v>
      </c>
      <c r="E124" s="15" t="s">
        <v>302</v>
      </c>
      <c r="V124" s="124">
        <v>124</v>
      </c>
      <c r="W124" s="124"/>
      <c r="X124" s="124" t="s">
        <v>1062</v>
      </c>
      <c r="Y124" s="124" t="s">
        <v>912</v>
      </c>
      <c r="Z124" s="406"/>
    </row>
    <row r="125" spans="1:26" ht="15" customHeight="1">
      <c r="A125" s="15">
        <v>125</v>
      </c>
      <c r="B125" s="15"/>
      <c r="C125" s="15"/>
      <c r="D125" s="15" t="s">
        <v>303</v>
      </c>
      <c r="E125" s="15" t="s">
        <v>304</v>
      </c>
      <c r="V125" s="124">
        <v>125</v>
      </c>
      <c r="W125" s="124"/>
      <c r="X125" s="124" t="s">
        <v>1063</v>
      </c>
      <c r="Y125" s="124" t="s">
        <v>913</v>
      </c>
      <c r="Z125" s="406"/>
    </row>
    <row r="126" spans="1:26" ht="15" customHeight="1">
      <c r="A126" s="15">
        <v>126</v>
      </c>
      <c r="B126" s="15"/>
      <c r="C126" s="15"/>
      <c r="D126" s="15" t="s">
        <v>305</v>
      </c>
      <c r="E126" s="15" t="s">
        <v>306</v>
      </c>
      <c r="V126" s="124">
        <v>126</v>
      </c>
      <c r="W126" s="124"/>
      <c r="X126" s="124" t="s">
        <v>1064</v>
      </c>
      <c r="Y126" s="124" t="s">
        <v>914</v>
      </c>
      <c r="Z126" s="406"/>
    </row>
    <row r="127" spans="1:26" ht="15" customHeight="1">
      <c r="A127" s="15">
        <v>127</v>
      </c>
      <c r="B127" s="15"/>
      <c r="C127" s="15"/>
      <c r="D127" s="15" t="s">
        <v>307</v>
      </c>
      <c r="E127" s="15" t="s">
        <v>308</v>
      </c>
      <c r="V127" s="124">
        <v>127</v>
      </c>
      <c r="W127" s="124"/>
      <c r="X127" s="124" t="s">
        <v>1065</v>
      </c>
      <c r="Y127" s="124" t="s">
        <v>915</v>
      </c>
      <c r="Z127" s="406"/>
    </row>
    <row r="128" spans="1:26" ht="15" customHeight="1">
      <c r="A128" s="15">
        <v>128</v>
      </c>
      <c r="B128" s="15"/>
      <c r="C128" s="15"/>
      <c r="D128" s="15" t="s">
        <v>309</v>
      </c>
      <c r="E128" s="15" t="s">
        <v>310</v>
      </c>
      <c r="V128" s="124">
        <v>128</v>
      </c>
      <c r="W128" s="124"/>
      <c r="X128" s="124" t="s">
        <v>1066</v>
      </c>
      <c r="Y128" s="124" t="s">
        <v>916</v>
      </c>
      <c r="Z128" s="406"/>
    </row>
    <row r="129" spans="1:26" ht="15" customHeight="1">
      <c r="A129" s="15">
        <v>129</v>
      </c>
      <c r="B129" s="15"/>
      <c r="C129" s="15"/>
      <c r="D129" s="15" t="s">
        <v>311</v>
      </c>
      <c r="E129" s="15" t="s">
        <v>312</v>
      </c>
      <c r="V129" s="124">
        <v>129</v>
      </c>
      <c r="W129" s="124"/>
      <c r="X129" s="124" t="s">
        <v>1067</v>
      </c>
      <c r="Y129" s="124" t="s">
        <v>917</v>
      </c>
      <c r="Z129" s="406"/>
    </row>
    <row r="130" spans="1:26" ht="15" customHeight="1">
      <c r="A130" s="15">
        <v>130</v>
      </c>
      <c r="B130" s="15"/>
      <c r="C130" s="15"/>
      <c r="D130" s="15" t="s">
        <v>313</v>
      </c>
      <c r="E130" s="15" t="s">
        <v>314</v>
      </c>
      <c r="V130" s="124">
        <v>130</v>
      </c>
      <c r="W130" s="124"/>
      <c r="X130" s="124" t="s">
        <v>1068</v>
      </c>
      <c r="Y130" s="124" t="s">
        <v>918</v>
      </c>
      <c r="Z130" s="406"/>
    </row>
    <row r="131" spans="1:26" ht="15" customHeight="1">
      <c r="A131" s="15">
        <v>131</v>
      </c>
      <c r="B131" s="15"/>
      <c r="C131" s="15"/>
      <c r="D131" s="15" t="s">
        <v>315</v>
      </c>
      <c r="E131" s="15" t="s">
        <v>316</v>
      </c>
      <c r="V131" s="124">
        <v>131</v>
      </c>
      <c r="W131" s="124"/>
      <c r="X131" s="124" t="s">
        <v>1069</v>
      </c>
      <c r="Y131" s="124" t="s">
        <v>919</v>
      </c>
      <c r="Z131" s="406"/>
    </row>
    <row r="132" spans="1:26" ht="15" customHeight="1">
      <c r="A132" s="15">
        <v>132</v>
      </c>
      <c r="B132" s="15"/>
      <c r="C132" s="15"/>
      <c r="D132" s="15" t="s">
        <v>317</v>
      </c>
      <c r="E132" s="15" t="s">
        <v>318</v>
      </c>
      <c r="V132" s="124">
        <v>132</v>
      </c>
      <c r="W132" s="124"/>
      <c r="X132" s="124" t="s">
        <v>1070</v>
      </c>
      <c r="Y132" s="124" t="s">
        <v>920</v>
      </c>
      <c r="Z132" s="406"/>
    </row>
    <row r="133" spans="1:26" ht="15" customHeight="1">
      <c r="A133" s="15">
        <v>133</v>
      </c>
      <c r="B133" s="15"/>
      <c r="C133" s="15"/>
      <c r="D133" s="15" t="s">
        <v>319</v>
      </c>
      <c r="E133" s="15" t="s">
        <v>320</v>
      </c>
      <c r="V133" s="124">
        <v>133</v>
      </c>
      <c r="W133" s="124"/>
      <c r="X133" s="124" t="s">
        <v>1071</v>
      </c>
      <c r="Y133" s="124" t="s">
        <v>921</v>
      </c>
      <c r="Z133" s="406"/>
    </row>
    <row r="134" spans="1:26" ht="15" customHeight="1">
      <c r="A134" s="15">
        <v>134</v>
      </c>
      <c r="B134" s="15"/>
      <c r="C134" s="15"/>
      <c r="D134" s="15" t="s">
        <v>321</v>
      </c>
      <c r="E134" s="15" t="s">
        <v>322</v>
      </c>
      <c r="V134" s="124">
        <v>134</v>
      </c>
      <c r="W134" s="124"/>
      <c r="X134" s="124" t="s">
        <v>1072</v>
      </c>
      <c r="Y134" s="124" t="s">
        <v>922</v>
      </c>
      <c r="Z134" s="406"/>
    </row>
    <row r="135" spans="1:26" ht="15" customHeight="1">
      <c r="A135" s="15">
        <v>135</v>
      </c>
      <c r="B135" s="15"/>
      <c r="C135" s="15"/>
      <c r="D135" s="15" t="s">
        <v>323</v>
      </c>
      <c r="E135" s="15" t="s">
        <v>324</v>
      </c>
      <c r="V135" s="124">
        <v>135</v>
      </c>
      <c r="W135" s="124"/>
      <c r="X135" s="124" t="s">
        <v>1073</v>
      </c>
      <c r="Y135" s="124" t="s">
        <v>923</v>
      </c>
      <c r="Z135" s="406"/>
    </row>
    <row r="136" spans="1:26" ht="15" customHeight="1">
      <c r="A136" s="15">
        <v>136</v>
      </c>
      <c r="B136" s="15"/>
      <c r="C136" s="15"/>
      <c r="D136" s="15" t="s">
        <v>325</v>
      </c>
      <c r="E136" s="15" t="s">
        <v>326</v>
      </c>
      <c r="V136" s="124">
        <v>136</v>
      </c>
      <c r="W136" s="124"/>
      <c r="X136" s="124" t="s">
        <v>1074</v>
      </c>
      <c r="Y136" s="124" t="s">
        <v>924</v>
      </c>
      <c r="Z136" s="406"/>
    </row>
    <row r="137" spans="1:26" ht="15" customHeight="1">
      <c r="A137" s="15">
        <v>137</v>
      </c>
      <c r="B137" s="15"/>
      <c r="C137" s="15"/>
      <c r="D137" s="15" t="s">
        <v>327</v>
      </c>
      <c r="E137" s="15" t="s">
        <v>328</v>
      </c>
      <c r="V137" s="124">
        <v>137</v>
      </c>
      <c r="W137" s="124"/>
      <c r="X137" s="124" t="s">
        <v>1075</v>
      </c>
      <c r="Y137" s="124" t="s">
        <v>925</v>
      </c>
      <c r="Z137" s="406"/>
    </row>
    <row r="138" spans="1:26" ht="15" customHeight="1">
      <c r="A138" s="15">
        <v>138</v>
      </c>
      <c r="B138" s="15"/>
      <c r="C138" s="15"/>
      <c r="D138" s="15" t="s">
        <v>329</v>
      </c>
      <c r="E138" s="15" t="s">
        <v>330</v>
      </c>
      <c r="V138" s="124">
        <v>138</v>
      </c>
      <c r="W138" s="124"/>
      <c r="X138" s="124" t="s">
        <v>1076</v>
      </c>
      <c r="Y138" s="124" t="s">
        <v>926</v>
      </c>
      <c r="Z138" s="406"/>
    </row>
    <row r="139" spans="1:26" ht="15" customHeight="1">
      <c r="A139" s="15">
        <v>139</v>
      </c>
      <c r="B139" s="15"/>
      <c r="C139" s="15"/>
      <c r="D139" s="15" t="s">
        <v>331</v>
      </c>
      <c r="E139" s="15" t="s">
        <v>332</v>
      </c>
      <c r="V139" s="124">
        <v>139</v>
      </c>
      <c r="W139" s="124"/>
      <c r="X139" s="124" t="s">
        <v>1077</v>
      </c>
      <c r="Y139" s="124" t="s">
        <v>927</v>
      </c>
      <c r="Z139" s="406"/>
    </row>
    <row r="140" spans="1:26" ht="15" customHeight="1">
      <c r="A140" s="15">
        <v>140</v>
      </c>
      <c r="B140" s="15"/>
      <c r="C140" s="15"/>
      <c r="D140" s="15" t="s">
        <v>333</v>
      </c>
      <c r="E140" s="15" t="s">
        <v>334</v>
      </c>
      <c r="V140" s="124">
        <v>140</v>
      </c>
      <c r="W140" s="124"/>
      <c r="X140" s="124" t="s">
        <v>1078</v>
      </c>
      <c r="Y140" s="124" t="s">
        <v>928</v>
      </c>
      <c r="Z140" s="406"/>
    </row>
    <row r="141" spans="1:26" ht="15" customHeight="1">
      <c r="A141" s="15">
        <v>141</v>
      </c>
      <c r="B141" s="15"/>
      <c r="C141" s="15"/>
      <c r="D141" s="15" t="s">
        <v>335</v>
      </c>
      <c r="E141" s="15" t="s">
        <v>336</v>
      </c>
      <c r="V141" s="124">
        <v>141</v>
      </c>
      <c r="W141" s="124"/>
      <c r="X141" s="124" t="s">
        <v>1079</v>
      </c>
      <c r="Y141" s="124" t="s">
        <v>929</v>
      </c>
      <c r="Z141" s="406"/>
    </row>
    <row r="142" spans="1:26" ht="15" customHeight="1">
      <c r="A142" s="15">
        <v>142</v>
      </c>
      <c r="B142" s="15"/>
      <c r="C142" s="15"/>
      <c r="D142" s="15" t="s">
        <v>337</v>
      </c>
      <c r="E142" s="15" t="s">
        <v>338</v>
      </c>
      <c r="V142" s="124">
        <v>142</v>
      </c>
      <c r="W142" s="124"/>
      <c r="X142" s="124" t="s">
        <v>1080</v>
      </c>
      <c r="Y142" s="124" t="s">
        <v>930</v>
      </c>
      <c r="Z142" s="406"/>
    </row>
    <row r="143" spans="1:26" ht="15" customHeight="1">
      <c r="A143" s="15">
        <v>143</v>
      </c>
      <c r="B143" s="15"/>
      <c r="C143" s="15"/>
      <c r="D143" s="15" t="s">
        <v>339</v>
      </c>
      <c r="E143" s="15" t="s">
        <v>340</v>
      </c>
      <c r="V143" s="124">
        <v>143</v>
      </c>
      <c r="W143" s="124"/>
      <c r="X143" s="124" t="s">
        <v>1081</v>
      </c>
      <c r="Y143" s="124" t="s">
        <v>931</v>
      </c>
      <c r="Z143" s="406"/>
    </row>
    <row r="144" spans="1:26" ht="15" customHeight="1">
      <c r="A144" s="15">
        <v>144</v>
      </c>
      <c r="B144" s="15"/>
      <c r="C144" s="15"/>
      <c r="D144" s="15" t="s">
        <v>341</v>
      </c>
      <c r="E144" s="15" t="s">
        <v>342</v>
      </c>
      <c r="V144" s="124">
        <v>144</v>
      </c>
      <c r="W144" s="124"/>
      <c r="X144" s="124" t="s">
        <v>1082</v>
      </c>
      <c r="Y144" s="124" t="s">
        <v>932</v>
      </c>
      <c r="Z144" s="406"/>
    </row>
    <row r="145" spans="1:26" ht="15" customHeight="1">
      <c r="A145" s="15">
        <v>145</v>
      </c>
      <c r="B145" s="15"/>
      <c r="C145" s="15"/>
      <c r="D145" s="15" t="s">
        <v>343</v>
      </c>
      <c r="E145" s="15" t="s">
        <v>344</v>
      </c>
      <c r="V145" s="124">
        <v>145</v>
      </c>
      <c r="W145" s="124"/>
      <c r="X145" s="124" t="s">
        <v>1083</v>
      </c>
      <c r="Y145" s="124" t="s">
        <v>933</v>
      </c>
      <c r="Z145" s="406"/>
    </row>
    <row r="146" spans="1:26" ht="15" customHeight="1">
      <c r="A146" s="15">
        <v>146</v>
      </c>
      <c r="B146" s="15"/>
      <c r="C146" s="15"/>
      <c r="D146" s="15" t="s">
        <v>345</v>
      </c>
      <c r="E146" s="15" t="s">
        <v>346</v>
      </c>
      <c r="V146" s="124">
        <v>146</v>
      </c>
      <c r="W146" s="124"/>
      <c r="X146" s="124" t="s">
        <v>1084</v>
      </c>
      <c r="Y146" s="124" t="s">
        <v>934</v>
      </c>
      <c r="Z146" s="406"/>
    </row>
    <row r="147" spans="1:26" ht="15" customHeight="1">
      <c r="A147" s="15">
        <v>147</v>
      </c>
      <c r="B147" s="15"/>
      <c r="C147" s="15"/>
      <c r="D147" s="15" t="s">
        <v>347</v>
      </c>
      <c r="E147" s="15" t="s">
        <v>348</v>
      </c>
      <c r="V147" s="124">
        <v>147</v>
      </c>
      <c r="W147" s="124"/>
      <c r="X147" s="124" t="s">
        <v>1085</v>
      </c>
      <c r="Y147" s="124" t="s">
        <v>935</v>
      </c>
      <c r="Z147" s="406"/>
    </row>
    <row r="148" spans="1:26" ht="15" customHeight="1">
      <c r="A148" s="15">
        <v>148</v>
      </c>
      <c r="B148" s="15"/>
      <c r="C148" s="15"/>
      <c r="D148" s="15" t="s">
        <v>349</v>
      </c>
      <c r="E148" s="15" t="s">
        <v>350</v>
      </c>
      <c r="V148" s="124">
        <v>148</v>
      </c>
      <c r="W148" s="124"/>
      <c r="X148" s="124" t="s">
        <v>1086</v>
      </c>
      <c r="Y148" s="124" t="s">
        <v>936</v>
      </c>
      <c r="Z148" s="406"/>
    </row>
    <row r="149" spans="1:26" ht="15" customHeight="1">
      <c r="A149" s="15">
        <v>149</v>
      </c>
      <c r="B149" s="15"/>
      <c r="C149" s="15"/>
      <c r="D149" s="15" t="s">
        <v>351</v>
      </c>
      <c r="E149" s="15" t="s">
        <v>352</v>
      </c>
      <c r="V149" s="124">
        <v>149</v>
      </c>
      <c r="W149" s="124"/>
      <c r="X149" s="124" t="s">
        <v>1087</v>
      </c>
      <c r="Y149" s="124" t="s">
        <v>937</v>
      </c>
      <c r="Z149" s="406"/>
    </row>
    <row r="150" spans="1:26" ht="15" customHeight="1">
      <c r="A150" s="15">
        <v>150</v>
      </c>
      <c r="B150" s="15"/>
      <c r="C150" s="15"/>
      <c r="D150" s="15" t="s">
        <v>353</v>
      </c>
      <c r="E150" s="15" t="s">
        <v>354</v>
      </c>
      <c r="V150" s="124">
        <v>150</v>
      </c>
      <c r="W150" s="124"/>
      <c r="X150" s="124" t="s">
        <v>1088</v>
      </c>
      <c r="Y150" s="124" t="s">
        <v>938</v>
      </c>
      <c r="Z150" s="406"/>
    </row>
    <row r="151" spans="1:26" ht="15" customHeight="1">
      <c r="A151" s="15">
        <v>151</v>
      </c>
      <c r="B151" s="15"/>
      <c r="C151" s="15"/>
      <c r="D151" s="15" t="s">
        <v>355</v>
      </c>
      <c r="E151" s="15" t="s">
        <v>356</v>
      </c>
      <c r="V151" s="124">
        <v>151</v>
      </c>
      <c r="W151" s="124"/>
      <c r="X151" s="124" t="s">
        <v>1089</v>
      </c>
      <c r="Y151" s="124" t="s">
        <v>939</v>
      </c>
      <c r="Z151" s="406"/>
    </row>
    <row r="152" spans="1:26" ht="15" customHeight="1">
      <c r="A152" s="15">
        <v>152</v>
      </c>
      <c r="B152" s="15"/>
      <c r="C152" s="15"/>
      <c r="D152" s="15" t="s">
        <v>357</v>
      </c>
      <c r="E152" s="15" t="s">
        <v>358</v>
      </c>
      <c r="V152" s="124">
        <v>152</v>
      </c>
      <c r="W152" s="124"/>
      <c r="X152" s="124" t="s">
        <v>1090</v>
      </c>
      <c r="Y152" s="124" t="s">
        <v>940</v>
      </c>
      <c r="Z152" s="406"/>
    </row>
    <row r="153" spans="1:26" ht="15" customHeight="1">
      <c r="A153" s="15">
        <v>153</v>
      </c>
      <c r="B153" s="15"/>
      <c r="C153" s="15"/>
      <c r="D153" s="15" t="s">
        <v>359</v>
      </c>
      <c r="E153" s="15" t="s">
        <v>360</v>
      </c>
      <c r="V153" s="124">
        <v>153</v>
      </c>
      <c r="W153" s="124"/>
      <c r="X153" s="124" t="s">
        <v>1091</v>
      </c>
      <c r="Y153" s="124" t="s">
        <v>941</v>
      </c>
      <c r="Z153" s="406"/>
    </row>
    <row r="154" spans="1:26" ht="15" customHeight="1">
      <c r="A154" s="15">
        <v>154</v>
      </c>
      <c r="B154" s="15"/>
      <c r="C154" s="15"/>
      <c r="D154" s="15" t="s">
        <v>361</v>
      </c>
      <c r="E154" s="15" t="s">
        <v>362</v>
      </c>
      <c r="V154" s="124">
        <v>154</v>
      </c>
      <c r="W154" s="124"/>
      <c r="X154" s="124" t="s">
        <v>1092</v>
      </c>
      <c r="Y154" s="124" t="s">
        <v>942</v>
      </c>
      <c r="Z154" s="406"/>
    </row>
    <row r="155" spans="1:26" ht="15" customHeight="1">
      <c r="A155" s="15">
        <v>155</v>
      </c>
      <c r="B155" s="15"/>
      <c r="C155" s="15"/>
      <c r="D155" s="15" t="s">
        <v>363</v>
      </c>
      <c r="E155" s="15" t="s">
        <v>364</v>
      </c>
      <c r="V155" s="124">
        <v>155</v>
      </c>
      <c r="W155" s="124"/>
      <c r="X155" s="124" t="s">
        <v>1093</v>
      </c>
      <c r="Y155" s="124" t="s">
        <v>943</v>
      </c>
      <c r="Z155" s="406"/>
    </row>
    <row r="156" spans="1:26" ht="15" customHeight="1">
      <c r="A156" s="15">
        <v>156</v>
      </c>
      <c r="B156" s="15"/>
      <c r="C156" s="15"/>
      <c r="D156" s="15" t="s">
        <v>365</v>
      </c>
      <c r="E156" s="15" t="s">
        <v>366</v>
      </c>
      <c r="V156" s="124">
        <v>156</v>
      </c>
      <c r="W156" s="124"/>
      <c r="X156" s="124" t="s">
        <v>1094</v>
      </c>
      <c r="Y156" s="124" t="s">
        <v>944</v>
      </c>
      <c r="Z156" s="406"/>
    </row>
    <row r="157" spans="1:26" ht="15" customHeight="1">
      <c r="A157" s="15">
        <v>157</v>
      </c>
      <c r="B157" s="15"/>
      <c r="C157" s="15"/>
      <c r="D157" s="15" t="s">
        <v>367</v>
      </c>
      <c r="E157" s="15" t="s">
        <v>368</v>
      </c>
      <c r="V157" s="124">
        <v>157</v>
      </c>
      <c r="W157" s="124"/>
      <c r="X157" s="124" t="s">
        <v>1095</v>
      </c>
      <c r="Y157" s="124" t="s">
        <v>945</v>
      </c>
      <c r="Z157" s="406"/>
    </row>
    <row r="158" spans="1:26" ht="15" customHeight="1">
      <c r="A158" s="15">
        <v>158</v>
      </c>
      <c r="B158" s="15"/>
      <c r="C158" s="15"/>
      <c r="D158" s="15" t="s">
        <v>369</v>
      </c>
      <c r="E158" s="15" t="s">
        <v>370</v>
      </c>
      <c r="V158" s="124">
        <v>158</v>
      </c>
      <c r="W158" s="124"/>
      <c r="X158" s="124" t="s">
        <v>1096</v>
      </c>
      <c r="Y158" s="124" t="s">
        <v>946</v>
      </c>
      <c r="Z158" s="406"/>
    </row>
    <row r="159" spans="1:26" ht="15" customHeight="1">
      <c r="A159" s="15">
        <v>159</v>
      </c>
      <c r="B159" s="15"/>
      <c r="C159" s="15"/>
      <c r="D159" s="15" t="s">
        <v>371</v>
      </c>
      <c r="E159" s="15" t="s">
        <v>372</v>
      </c>
      <c r="V159" s="124">
        <v>159</v>
      </c>
      <c r="W159" s="124"/>
      <c r="X159" s="124" t="s">
        <v>1097</v>
      </c>
      <c r="Y159" s="124" t="s">
        <v>947</v>
      </c>
      <c r="Z159" s="406"/>
    </row>
    <row r="160" spans="1:26" ht="15" customHeight="1">
      <c r="A160" s="15">
        <v>160</v>
      </c>
      <c r="B160" s="15"/>
      <c r="C160" s="15"/>
      <c r="D160" s="15" t="s">
        <v>373</v>
      </c>
      <c r="E160" s="15" t="s">
        <v>374</v>
      </c>
      <c r="V160" s="124">
        <v>160</v>
      </c>
      <c r="W160" s="124"/>
      <c r="X160" s="124" t="s">
        <v>1098</v>
      </c>
      <c r="Y160" s="124" t="s">
        <v>948</v>
      </c>
      <c r="Z160" s="406"/>
    </row>
    <row r="161" spans="1:26" ht="15" customHeight="1">
      <c r="A161" s="15">
        <v>161</v>
      </c>
      <c r="B161" s="15"/>
      <c r="C161" s="15"/>
      <c r="D161" s="15" t="s">
        <v>375</v>
      </c>
      <c r="E161" s="15" t="s">
        <v>376</v>
      </c>
      <c r="V161" s="124">
        <v>161</v>
      </c>
      <c r="W161" s="124"/>
      <c r="X161" s="124" t="s">
        <v>1099</v>
      </c>
      <c r="Y161" s="124" t="s">
        <v>949</v>
      </c>
      <c r="Z161" s="406"/>
    </row>
    <row r="162" spans="1:26" ht="15" customHeight="1">
      <c r="A162" s="15">
        <v>162</v>
      </c>
      <c r="B162" s="15"/>
      <c r="C162" s="15"/>
      <c r="D162" s="15" t="s">
        <v>377</v>
      </c>
      <c r="E162" s="15" t="s">
        <v>378</v>
      </c>
      <c r="V162" s="124">
        <v>162</v>
      </c>
      <c r="W162" s="124"/>
      <c r="X162" s="124" t="s">
        <v>1100</v>
      </c>
      <c r="Y162" s="124" t="s">
        <v>950</v>
      </c>
      <c r="Z162" s="406"/>
    </row>
    <row r="163" spans="1:26" ht="15" customHeight="1">
      <c r="A163" s="15">
        <v>163</v>
      </c>
      <c r="B163" s="15"/>
      <c r="C163" s="15"/>
      <c r="D163" s="15" t="s">
        <v>379</v>
      </c>
      <c r="E163" s="15" t="s">
        <v>380</v>
      </c>
      <c r="V163" s="124">
        <v>163</v>
      </c>
      <c r="W163" s="124"/>
      <c r="X163" s="124" t="s">
        <v>1101</v>
      </c>
      <c r="Y163" s="124" t="s">
        <v>951</v>
      </c>
      <c r="Z163" s="406"/>
    </row>
    <row r="164" spans="1:26" ht="15" customHeight="1">
      <c r="A164" s="15">
        <v>164</v>
      </c>
      <c r="B164" s="15"/>
      <c r="C164" s="15"/>
      <c r="D164" s="15" t="s">
        <v>381</v>
      </c>
      <c r="E164" s="15" t="s">
        <v>382</v>
      </c>
      <c r="V164" s="124">
        <v>164</v>
      </c>
      <c r="W164" s="124"/>
      <c r="X164" s="124" t="s">
        <v>1102</v>
      </c>
      <c r="Y164" s="124" t="s">
        <v>952</v>
      </c>
      <c r="Z164" s="406"/>
    </row>
    <row r="165" spans="1:26" ht="15" customHeight="1">
      <c r="A165" s="15">
        <v>165</v>
      </c>
      <c r="B165" s="15"/>
      <c r="C165" s="15"/>
      <c r="D165" s="15" t="s">
        <v>383</v>
      </c>
      <c r="E165" s="15" t="s">
        <v>384</v>
      </c>
      <c r="V165" s="124">
        <v>165</v>
      </c>
      <c r="W165" s="124"/>
      <c r="X165" s="124" t="s">
        <v>1103</v>
      </c>
      <c r="Y165" s="124" t="s">
        <v>953</v>
      </c>
      <c r="Z165" s="406"/>
    </row>
    <row r="166" spans="1:26" ht="15" customHeight="1">
      <c r="A166" s="15">
        <v>166</v>
      </c>
      <c r="B166" s="15"/>
      <c r="C166" s="15"/>
      <c r="D166" s="15" t="s">
        <v>385</v>
      </c>
      <c r="E166" s="15" t="s">
        <v>386</v>
      </c>
      <c r="V166" s="124">
        <v>166</v>
      </c>
      <c r="W166" s="124"/>
      <c r="X166" s="124" t="s">
        <v>1104</v>
      </c>
      <c r="Y166" s="124" t="s">
        <v>954</v>
      </c>
      <c r="Z166" s="406"/>
    </row>
    <row r="167" spans="1:26" ht="15" customHeight="1">
      <c r="A167" s="15">
        <v>167</v>
      </c>
      <c r="B167" s="15"/>
      <c r="C167" s="15"/>
      <c r="D167" s="15" t="s">
        <v>387</v>
      </c>
      <c r="E167" s="15" t="s">
        <v>388</v>
      </c>
      <c r="V167" s="124">
        <v>167</v>
      </c>
      <c r="W167" s="124"/>
      <c r="X167" s="124" t="s">
        <v>1105</v>
      </c>
      <c r="Y167" s="124" t="s">
        <v>955</v>
      </c>
      <c r="Z167" s="406"/>
    </row>
    <row r="168" spans="1:26" ht="15" customHeight="1">
      <c r="A168" s="15">
        <v>168</v>
      </c>
      <c r="B168" s="15"/>
      <c r="C168" s="15"/>
      <c r="D168" s="15" t="s">
        <v>389</v>
      </c>
      <c r="E168" s="15" t="s">
        <v>390</v>
      </c>
      <c r="V168" s="124">
        <v>168</v>
      </c>
      <c r="W168" s="124"/>
      <c r="X168" s="124" t="s">
        <v>1106</v>
      </c>
      <c r="Y168" s="124" t="s">
        <v>956</v>
      </c>
      <c r="Z168" s="406"/>
    </row>
    <row r="169" spans="1:26" ht="15" customHeight="1">
      <c r="A169" s="15">
        <v>169</v>
      </c>
      <c r="B169" s="15"/>
      <c r="C169" s="15"/>
      <c r="D169" s="15" t="s">
        <v>391</v>
      </c>
      <c r="E169" s="15" t="s">
        <v>392</v>
      </c>
      <c r="V169" s="124">
        <v>169</v>
      </c>
      <c r="W169" s="124"/>
      <c r="X169" s="124" t="s">
        <v>1107</v>
      </c>
      <c r="Y169" s="124" t="s">
        <v>957</v>
      </c>
      <c r="Z169" s="406"/>
    </row>
    <row r="170" spans="1:26" ht="15" customHeight="1">
      <c r="A170" s="15">
        <v>170</v>
      </c>
      <c r="B170" s="15"/>
      <c r="C170" s="15"/>
      <c r="D170" s="15" t="s">
        <v>393</v>
      </c>
      <c r="E170" s="15" t="s">
        <v>394</v>
      </c>
      <c r="V170" s="124">
        <v>170</v>
      </c>
      <c r="W170" s="124"/>
      <c r="X170" s="124" t="s">
        <v>1108</v>
      </c>
      <c r="Y170" s="124" t="s">
        <v>958</v>
      </c>
      <c r="Z170" s="406"/>
    </row>
    <row r="171" spans="1:26" ht="15" customHeight="1">
      <c r="A171" s="15">
        <v>171</v>
      </c>
      <c r="B171" s="15"/>
      <c r="C171" s="15"/>
      <c r="D171" s="15" t="s">
        <v>395</v>
      </c>
      <c r="E171" s="15" t="s">
        <v>396</v>
      </c>
      <c r="V171" s="124">
        <v>171</v>
      </c>
      <c r="W171" s="124"/>
      <c r="X171" s="124" t="s">
        <v>1109</v>
      </c>
      <c r="Y171" s="124" t="s">
        <v>959</v>
      </c>
      <c r="Z171" s="406"/>
    </row>
    <row r="172" spans="1:26" ht="15" customHeight="1">
      <c r="A172" s="15">
        <v>172</v>
      </c>
      <c r="B172" s="15"/>
      <c r="C172" s="15"/>
      <c r="D172" s="15" t="s">
        <v>397</v>
      </c>
      <c r="E172" s="15" t="s">
        <v>398</v>
      </c>
      <c r="V172" s="124">
        <v>172</v>
      </c>
      <c r="W172" s="124"/>
      <c r="X172" s="124" t="s">
        <v>1110</v>
      </c>
      <c r="Y172" s="124" t="s">
        <v>960</v>
      </c>
      <c r="Z172" s="406"/>
    </row>
    <row r="173" spans="1:26" ht="15" customHeight="1">
      <c r="A173" s="15">
        <v>173</v>
      </c>
      <c r="B173" s="15"/>
      <c r="C173" s="15"/>
      <c r="D173" s="15" t="s">
        <v>399</v>
      </c>
      <c r="E173" s="15" t="s">
        <v>400</v>
      </c>
      <c r="V173" s="124">
        <v>173</v>
      </c>
      <c r="W173" s="124"/>
      <c r="X173" s="124" t="s">
        <v>1111</v>
      </c>
      <c r="Y173" s="124" t="s">
        <v>961</v>
      </c>
      <c r="Z173" s="406"/>
    </row>
    <row r="174" spans="1:26" ht="15" customHeight="1">
      <c r="A174" s="15">
        <v>174</v>
      </c>
      <c r="B174" s="15"/>
      <c r="C174" s="15"/>
      <c r="D174" s="15" t="s">
        <v>401</v>
      </c>
      <c r="E174" s="15" t="s">
        <v>402</v>
      </c>
      <c r="V174" s="124">
        <v>174</v>
      </c>
      <c r="W174" s="124"/>
      <c r="X174" s="124" t="s">
        <v>1112</v>
      </c>
      <c r="Y174" s="124" t="s">
        <v>962</v>
      </c>
      <c r="Z174" s="406"/>
    </row>
    <row r="175" spans="1:26" ht="15" customHeight="1">
      <c r="A175" s="15">
        <v>175</v>
      </c>
      <c r="B175" s="15"/>
      <c r="C175" s="15"/>
      <c r="D175" s="15" t="s">
        <v>403</v>
      </c>
      <c r="E175" s="15" t="s">
        <v>404</v>
      </c>
      <c r="V175" s="124">
        <v>175</v>
      </c>
      <c r="W175" s="124"/>
      <c r="X175" s="124" t="s">
        <v>1113</v>
      </c>
      <c r="Y175" s="124" t="s">
        <v>963</v>
      </c>
      <c r="Z175" s="406"/>
    </row>
    <row r="176" spans="1:26" ht="15" customHeight="1">
      <c r="A176" s="15">
        <v>176</v>
      </c>
      <c r="B176" s="15"/>
      <c r="C176" s="15"/>
      <c r="D176" s="15" t="s">
        <v>405</v>
      </c>
      <c r="E176" s="15" t="s">
        <v>406</v>
      </c>
      <c r="V176" s="124">
        <v>176</v>
      </c>
      <c r="W176" s="124"/>
      <c r="X176" s="124" t="s">
        <v>1114</v>
      </c>
      <c r="Y176" s="124" t="s">
        <v>964</v>
      </c>
      <c r="Z176" s="406"/>
    </row>
    <row r="177" spans="1:26" ht="15" customHeight="1">
      <c r="A177" s="15">
        <v>177</v>
      </c>
      <c r="B177" s="15"/>
      <c r="C177" s="15"/>
      <c r="D177" s="15" t="s">
        <v>407</v>
      </c>
      <c r="E177" s="15" t="s">
        <v>408</v>
      </c>
      <c r="V177" s="124">
        <v>177</v>
      </c>
      <c r="W177" s="124"/>
      <c r="X177" s="124" t="s">
        <v>1115</v>
      </c>
      <c r="Y177" s="124" t="s">
        <v>965</v>
      </c>
      <c r="Z177" s="406"/>
    </row>
    <row r="178" spans="1:26" ht="15" customHeight="1">
      <c r="A178" s="15">
        <v>178</v>
      </c>
      <c r="B178" s="15"/>
      <c r="C178" s="15"/>
      <c r="D178" s="15" t="s">
        <v>409</v>
      </c>
      <c r="E178" s="15" t="s">
        <v>410</v>
      </c>
      <c r="V178" s="124">
        <v>178</v>
      </c>
      <c r="W178" s="124"/>
      <c r="X178" s="124" t="s">
        <v>1116</v>
      </c>
      <c r="Y178" s="124" t="s">
        <v>966</v>
      </c>
      <c r="Z178" s="406"/>
    </row>
    <row r="179" spans="1:26" ht="15" customHeight="1">
      <c r="A179" s="15">
        <v>179</v>
      </c>
      <c r="B179" s="15"/>
      <c r="C179" s="15"/>
      <c r="D179" s="15" t="s">
        <v>411</v>
      </c>
      <c r="E179" s="15" t="s">
        <v>412</v>
      </c>
      <c r="V179" s="124">
        <v>179</v>
      </c>
      <c r="W179" s="124"/>
      <c r="X179" s="124" t="s">
        <v>1117</v>
      </c>
      <c r="Y179" s="124" t="s">
        <v>967</v>
      </c>
      <c r="Z179" s="406"/>
    </row>
    <row r="180" spans="1:26" ht="15" customHeight="1">
      <c r="A180" s="15">
        <v>180</v>
      </c>
      <c r="B180" s="15"/>
      <c r="C180" s="15"/>
      <c r="D180" s="15" t="s">
        <v>413</v>
      </c>
      <c r="E180" s="15" t="s">
        <v>414</v>
      </c>
      <c r="V180" s="124">
        <v>180</v>
      </c>
      <c r="W180" s="124"/>
      <c r="X180" s="124" t="s">
        <v>1118</v>
      </c>
      <c r="Y180" s="124" t="s">
        <v>968</v>
      </c>
      <c r="Z180" s="406"/>
    </row>
    <row r="181" spans="1:26" ht="15" customHeight="1">
      <c r="A181" s="15">
        <v>181</v>
      </c>
      <c r="B181" s="15"/>
      <c r="C181" s="15"/>
      <c r="D181" s="15" t="s">
        <v>415</v>
      </c>
      <c r="E181" s="15" t="s">
        <v>416</v>
      </c>
      <c r="V181" s="124">
        <v>181</v>
      </c>
      <c r="W181" s="124"/>
      <c r="X181" s="124" t="s">
        <v>1119</v>
      </c>
      <c r="Y181" s="124" t="s">
        <v>969</v>
      </c>
      <c r="Z181" s="406"/>
    </row>
    <row r="182" spans="1:26" ht="15" customHeight="1">
      <c r="A182" s="15">
        <v>182</v>
      </c>
      <c r="B182" s="15"/>
      <c r="C182" s="15"/>
      <c r="D182" s="15" t="s">
        <v>417</v>
      </c>
      <c r="E182" s="15" t="s">
        <v>418</v>
      </c>
      <c r="V182" s="124">
        <v>182</v>
      </c>
      <c r="W182" s="124"/>
      <c r="X182" s="124" t="s">
        <v>1120</v>
      </c>
      <c r="Y182" s="124" t="s">
        <v>970</v>
      </c>
      <c r="Z182" s="406"/>
    </row>
    <row r="183" spans="1:26" ht="15" customHeight="1">
      <c r="A183" s="15">
        <v>183</v>
      </c>
      <c r="B183" s="15"/>
      <c r="C183" s="15"/>
      <c r="D183" s="15" t="s">
        <v>419</v>
      </c>
      <c r="E183" s="15" t="s">
        <v>420</v>
      </c>
      <c r="V183" s="124">
        <v>183</v>
      </c>
      <c r="W183" s="124"/>
      <c r="X183" s="124" t="s">
        <v>1121</v>
      </c>
      <c r="Y183" s="124" t="s">
        <v>971</v>
      </c>
      <c r="Z183" s="406"/>
    </row>
    <row r="184" spans="1:26" ht="15" customHeight="1">
      <c r="A184" s="15">
        <v>184</v>
      </c>
      <c r="B184" s="15"/>
      <c r="C184" s="15"/>
      <c r="D184" s="15" t="s">
        <v>421</v>
      </c>
      <c r="E184" s="15" t="s">
        <v>422</v>
      </c>
      <c r="V184" s="124">
        <v>184</v>
      </c>
      <c r="W184" s="124"/>
      <c r="X184" s="124" t="s">
        <v>1122</v>
      </c>
      <c r="Y184" s="124" t="s">
        <v>972</v>
      </c>
      <c r="Z184" s="406"/>
    </row>
    <row r="185" spans="1:26" ht="15" customHeight="1">
      <c r="A185" s="15">
        <v>185</v>
      </c>
      <c r="B185" s="15"/>
      <c r="C185" s="15"/>
      <c r="D185" s="15" t="s">
        <v>423</v>
      </c>
      <c r="E185" s="15" t="s">
        <v>424</v>
      </c>
      <c r="V185" s="124">
        <v>185</v>
      </c>
      <c r="W185" s="124"/>
      <c r="X185" s="124" t="s">
        <v>1123</v>
      </c>
      <c r="Y185" s="124" t="s">
        <v>973</v>
      </c>
      <c r="Z185" s="406"/>
    </row>
    <row r="186" spans="1:26" ht="15" customHeight="1">
      <c r="A186" s="15">
        <v>186</v>
      </c>
      <c r="B186" s="15"/>
      <c r="C186" s="15"/>
      <c r="D186" s="15" t="s">
        <v>425</v>
      </c>
      <c r="E186" s="15" t="s">
        <v>426</v>
      </c>
      <c r="V186" s="124">
        <v>186</v>
      </c>
      <c r="W186" s="124"/>
      <c r="X186" s="124" t="s">
        <v>1124</v>
      </c>
      <c r="Y186" s="124" t="s">
        <v>974</v>
      </c>
      <c r="Z186" s="406"/>
    </row>
    <row r="187" spans="1:26" ht="15" customHeight="1">
      <c r="A187" s="15">
        <v>187</v>
      </c>
      <c r="B187" s="15"/>
      <c r="C187" s="15"/>
      <c r="D187" s="15" t="s">
        <v>427</v>
      </c>
      <c r="E187" s="15" t="s">
        <v>428</v>
      </c>
      <c r="V187" s="124">
        <v>187</v>
      </c>
      <c r="W187" s="124"/>
      <c r="X187" s="124" t="s">
        <v>1125</v>
      </c>
      <c r="Y187" s="124" t="s">
        <v>975</v>
      </c>
      <c r="Z187" s="406"/>
    </row>
    <row r="188" spans="1:26" ht="15" customHeight="1">
      <c r="A188" s="15">
        <v>188</v>
      </c>
      <c r="B188" s="15"/>
      <c r="C188" s="15"/>
      <c r="D188" s="15" t="s">
        <v>429</v>
      </c>
      <c r="E188" s="15" t="s">
        <v>430</v>
      </c>
      <c r="V188" s="124">
        <v>188</v>
      </c>
      <c r="W188" s="124"/>
      <c r="X188" s="124" t="s">
        <v>1126</v>
      </c>
      <c r="Y188" s="124" t="s">
        <v>976</v>
      </c>
      <c r="Z188" s="406"/>
    </row>
    <row r="189" spans="1:26" ht="15" customHeight="1">
      <c r="A189" s="15">
        <v>189</v>
      </c>
      <c r="B189" s="15"/>
      <c r="C189" s="15"/>
      <c r="D189" s="15" t="s">
        <v>431</v>
      </c>
      <c r="E189" s="15" t="s">
        <v>432</v>
      </c>
      <c r="V189" s="124">
        <v>189</v>
      </c>
      <c r="W189" s="124"/>
      <c r="X189" s="124" t="s">
        <v>1127</v>
      </c>
      <c r="Y189" s="124" t="s">
        <v>977</v>
      </c>
      <c r="Z189" s="406"/>
    </row>
    <row r="190" spans="1:26" ht="15" customHeight="1">
      <c r="A190" s="15">
        <v>190</v>
      </c>
      <c r="B190" s="15"/>
      <c r="C190" s="15"/>
      <c r="D190" s="15" t="s">
        <v>433</v>
      </c>
      <c r="E190" s="15" t="s">
        <v>434</v>
      </c>
      <c r="V190" s="124">
        <v>190</v>
      </c>
      <c r="W190" s="124"/>
      <c r="X190" s="124" t="s">
        <v>1128</v>
      </c>
      <c r="Y190" s="124" t="s">
        <v>978</v>
      </c>
      <c r="Z190" s="406"/>
    </row>
    <row r="191" spans="1:26" ht="15" customHeight="1">
      <c r="A191" s="15">
        <v>191</v>
      </c>
      <c r="B191" s="15"/>
      <c r="C191" s="15"/>
      <c r="D191" s="15" t="s">
        <v>435</v>
      </c>
      <c r="E191" s="15" t="s">
        <v>436</v>
      </c>
      <c r="V191" s="124">
        <v>191</v>
      </c>
      <c r="W191" s="124"/>
      <c r="X191" s="124" t="s">
        <v>1129</v>
      </c>
      <c r="Y191" s="124" t="s">
        <v>979</v>
      </c>
      <c r="Z191" s="406"/>
    </row>
    <row r="192" spans="1:26" ht="15" customHeight="1">
      <c r="A192" s="15">
        <v>192</v>
      </c>
      <c r="B192" s="15"/>
      <c r="C192" s="15"/>
      <c r="D192" s="15" t="s">
        <v>437</v>
      </c>
      <c r="E192" s="15" t="s">
        <v>438</v>
      </c>
      <c r="V192" s="124">
        <v>192</v>
      </c>
      <c r="W192" s="124"/>
      <c r="X192" s="124" t="s">
        <v>1130</v>
      </c>
      <c r="Y192" s="124" t="s">
        <v>980</v>
      </c>
      <c r="Z192" s="406"/>
    </row>
    <row r="193" spans="1:26" ht="15" customHeight="1">
      <c r="A193" s="15">
        <v>193</v>
      </c>
      <c r="B193" s="15"/>
      <c r="C193" s="15"/>
      <c r="D193" s="15" t="s">
        <v>439</v>
      </c>
      <c r="E193" s="15" t="s">
        <v>440</v>
      </c>
      <c r="V193" s="124">
        <v>193</v>
      </c>
      <c r="W193" s="124"/>
      <c r="X193" s="124" t="s">
        <v>1131</v>
      </c>
      <c r="Y193" s="124" t="s">
        <v>981</v>
      </c>
      <c r="Z193" s="406"/>
    </row>
    <row r="194" spans="1:26" ht="15" customHeight="1">
      <c r="A194" s="15">
        <v>194</v>
      </c>
      <c r="B194" s="15"/>
      <c r="C194" s="15"/>
      <c r="D194" s="15" t="s">
        <v>441</v>
      </c>
      <c r="E194" s="15" t="s">
        <v>442</v>
      </c>
      <c r="V194" s="124">
        <v>194</v>
      </c>
      <c r="W194" s="124"/>
      <c r="X194" s="124" t="s">
        <v>1132</v>
      </c>
      <c r="Y194" s="124" t="s">
        <v>982</v>
      </c>
      <c r="Z194" s="406"/>
    </row>
    <row r="195" spans="1:26" ht="15" customHeight="1">
      <c r="A195" s="15">
        <v>195</v>
      </c>
      <c r="B195" s="15"/>
      <c r="C195" s="15"/>
      <c r="D195" s="15" t="s">
        <v>443</v>
      </c>
      <c r="E195" s="15" t="s">
        <v>444</v>
      </c>
      <c r="V195" s="124">
        <v>195</v>
      </c>
      <c r="W195" s="124"/>
      <c r="X195" s="124" t="s">
        <v>1133</v>
      </c>
      <c r="Y195" s="124" t="s">
        <v>983</v>
      </c>
      <c r="Z195" s="406"/>
    </row>
    <row r="196" spans="1:26" ht="15" customHeight="1">
      <c r="A196" s="15">
        <v>196</v>
      </c>
      <c r="B196" s="15"/>
      <c r="C196" s="15"/>
      <c r="D196" s="15" t="s">
        <v>445</v>
      </c>
      <c r="E196" s="15" t="s">
        <v>446</v>
      </c>
      <c r="V196" s="124">
        <v>196</v>
      </c>
      <c r="W196" s="124"/>
      <c r="X196" s="124" t="s">
        <v>1134</v>
      </c>
      <c r="Y196" s="124" t="s">
        <v>984</v>
      </c>
      <c r="Z196" s="406"/>
    </row>
    <row r="197" spans="1:26" ht="15" customHeight="1">
      <c r="A197" s="15">
        <v>197</v>
      </c>
      <c r="B197" s="15"/>
      <c r="C197" s="15"/>
      <c r="D197" s="15" t="s">
        <v>447</v>
      </c>
      <c r="E197" s="15" t="s">
        <v>448</v>
      </c>
      <c r="V197" s="124">
        <v>197</v>
      </c>
      <c r="W197" s="124"/>
      <c r="X197" s="124" t="s">
        <v>1135</v>
      </c>
      <c r="Y197" s="124" t="s">
        <v>985</v>
      </c>
      <c r="Z197" s="406"/>
    </row>
  </sheetData>
  <phoneticPr fontId="5"/>
  <dataValidations count="1">
    <dataValidation type="list" allowBlank="1" showInputMessage="1" showErrorMessage="1" sqref="B2" xr:uid="{00000000-0002-0000-0000-000000000000}">
      <formula1>$C$2:$C$6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5"/>
  <sheetViews>
    <sheetView view="pageBreakPreview" zoomScale="30" zoomScaleNormal="100" zoomScaleSheetLayoutView="30" workbookViewId="0">
      <pane ySplit="4" topLeftCell="A5" activePane="bottomLeft" state="frozen"/>
      <selection activeCell="B6" sqref="B6:B17"/>
      <selection pane="bottomLeft" activeCell="B6" sqref="B6:B17"/>
    </sheetView>
  </sheetViews>
  <sheetFormatPr defaultColWidth="8.58203125" defaultRowHeight="35"/>
  <cols>
    <col min="1" max="4" width="15.58203125" style="352" customWidth="1"/>
    <col min="5" max="5" width="30.58203125" style="352" customWidth="1"/>
    <col min="6" max="9" width="15.58203125" style="352" customWidth="1"/>
    <col min="10" max="12" width="8.58203125" style="352"/>
    <col min="13" max="13" width="90.58203125" style="352" customWidth="1"/>
    <col min="14" max="16384" width="8.58203125" style="352"/>
  </cols>
  <sheetData>
    <row r="1" spans="1:9" ht="45" customHeight="1">
      <c r="F1" s="356"/>
      <c r="G1" s="746" t="str">
        <f>"《２次募集》"&amp;はじめに入力してください!AE20</f>
        <v>《２次募集》</v>
      </c>
      <c r="H1" s="747"/>
      <c r="I1" s="747"/>
    </row>
    <row r="2" spans="1:9" ht="45" customHeight="1"/>
    <row r="3" spans="1:9" ht="45" customHeight="1">
      <c r="I3" s="353" t="s">
        <v>761</v>
      </c>
    </row>
    <row r="4" spans="1:9" ht="45" customHeight="1">
      <c r="A4" s="752" t="s">
        <v>762</v>
      </c>
      <c r="B4" s="753"/>
      <c r="C4" s="753"/>
    </row>
    <row r="5" spans="1:9" ht="45" customHeight="1"/>
    <row r="6" spans="1:9" ht="45" customHeight="1">
      <c r="E6" s="754" t="s">
        <v>763</v>
      </c>
      <c r="F6" s="752" t="str">
        <f>表紙!L8</f>
        <v/>
      </c>
      <c r="G6" s="756"/>
      <c r="H6" s="756"/>
      <c r="I6" s="756"/>
    </row>
    <row r="7" spans="1:9" ht="45" customHeight="1">
      <c r="E7" s="755"/>
      <c r="F7" s="756"/>
      <c r="G7" s="756"/>
      <c r="H7" s="756"/>
      <c r="I7" s="756"/>
    </row>
    <row r="8" spans="1:9" ht="45" customHeight="1">
      <c r="E8" s="354" t="s">
        <v>751</v>
      </c>
      <c r="F8" s="752" t="str">
        <f>表紙!L9</f>
        <v/>
      </c>
      <c r="G8" s="756"/>
      <c r="H8" s="756"/>
      <c r="I8" s="756"/>
    </row>
    <row r="9" spans="1:9" ht="45" customHeight="1">
      <c r="E9" s="354" t="s">
        <v>753</v>
      </c>
      <c r="F9" s="752" t="str">
        <f>表紙!L10</f>
        <v>　</v>
      </c>
      <c r="G9" s="756"/>
      <c r="H9" s="756"/>
      <c r="I9" s="756"/>
    </row>
    <row r="10" spans="1:9" ht="45" customHeight="1">
      <c r="E10" s="354" t="s">
        <v>764</v>
      </c>
      <c r="F10" s="752" t="str">
        <f>表紙!C17</f>
        <v/>
      </c>
      <c r="G10" s="756"/>
      <c r="H10" s="756"/>
      <c r="I10" s="756"/>
    </row>
    <row r="11" spans="1:9" ht="45" customHeight="1"/>
    <row r="12" spans="1:9" ht="45" customHeight="1">
      <c r="A12" s="757" t="s">
        <v>765</v>
      </c>
      <c r="B12" s="758"/>
      <c r="C12" s="758"/>
      <c r="D12" s="758"/>
      <c r="E12" s="758"/>
      <c r="F12" s="758"/>
      <c r="G12" s="758"/>
      <c r="H12" s="758"/>
      <c r="I12" s="758"/>
    </row>
    <row r="13" spans="1:9" ht="45" customHeight="1">
      <c r="A13" s="758"/>
      <c r="B13" s="758"/>
      <c r="C13" s="758"/>
      <c r="D13" s="758"/>
      <c r="E13" s="758"/>
      <c r="F13" s="758"/>
      <c r="G13" s="758"/>
      <c r="H13" s="758"/>
      <c r="I13" s="758"/>
    </row>
    <row r="14" spans="1:9" ht="45" customHeight="1"/>
    <row r="15" spans="1:9" ht="45" customHeight="1">
      <c r="A15" s="759" t="s">
        <v>772</v>
      </c>
      <c r="B15" s="760"/>
      <c r="C15" s="760"/>
      <c r="D15" s="760"/>
      <c r="E15" s="760"/>
      <c r="F15" s="760"/>
      <c r="G15" s="760"/>
      <c r="H15" s="760"/>
      <c r="I15" s="760"/>
    </row>
    <row r="16" spans="1:9" ht="45" customHeight="1">
      <c r="A16" s="760"/>
      <c r="B16" s="760"/>
      <c r="C16" s="760"/>
      <c r="D16" s="760"/>
      <c r="E16" s="760"/>
      <c r="F16" s="760"/>
      <c r="G16" s="760"/>
      <c r="H16" s="760"/>
      <c r="I16" s="760"/>
    </row>
    <row r="17" spans="1:13" ht="45" customHeight="1">
      <c r="A17" s="761" t="s">
        <v>754</v>
      </c>
      <c r="B17" s="762"/>
      <c r="C17" s="762"/>
      <c r="D17" s="762"/>
      <c r="E17" s="762"/>
      <c r="F17" s="762"/>
      <c r="G17" s="762"/>
      <c r="H17" s="762"/>
      <c r="I17" s="762"/>
    </row>
    <row r="18" spans="1:13" ht="45" customHeight="1">
      <c r="A18" s="352" t="s">
        <v>766</v>
      </c>
    </row>
    <row r="19" spans="1:13" ht="45" customHeight="1">
      <c r="A19" s="352" t="str">
        <f>IF(表紙!G20="金　　　　　　　　　円","　　金　　　　　　　　　円","　　金"&amp;TEXT(表紙!G20,"#,###")&amp;"円")</f>
        <v>　　金　　　　　　　　　円</v>
      </c>
    </row>
    <row r="20" spans="1:13" ht="45" customHeight="1"/>
    <row r="21" spans="1:13" ht="45" customHeight="1">
      <c r="A21" s="352" t="s">
        <v>767</v>
      </c>
    </row>
    <row r="22" spans="1:13" ht="45" customHeight="1">
      <c r="B22" s="748" t="s">
        <v>768</v>
      </c>
      <c r="C22" s="749"/>
      <c r="D22" s="750" t="e">
        <f>IF(VLOOKUP(はじめに入力してください!L20,リスト!A:DX,126,FALSE)="","",VLOOKUP(はじめに入力してください!L20,リスト!A:DX,126,FALSE))</f>
        <v>#N/A</v>
      </c>
      <c r="E22" s="751"/>
      <c r="F22" s="751"/>
      <c r="G22" s="751"/>
      <c r="H22" s="751"/>
    </row>
    <row r="23" spans="1:13" ht="45" customHeight="1">
      <c r="B23" s="748" t="s">
        <v>769</v>
      </c>
      <c r="C23" s="749"/>
      <c r="D23" s="750" t="e">
        <f>IF(VLOOKUP(はじめに入力してください!L20,リスト!A:DX,126,FALSE)="","",VLOOKUP(はじめに入力してください!L20,リスト!A:DX,127,FALSE))</f>
        <v>#N/A</v>
      </c>
      <c r="E23" s="751"/>
      <c r="F23" s="751"/>
      <c r="G23" s="751"/>
      <c r="H23" s="751"/>
    </row>
    <row r="24" spans="1:13" ht="45" customHeight="1">
      <c r="B24" s="748" t="s">
        <v>770</v>
      </c>
      <c r="C24" s="749"/>
      <c r="D24" s="750" t="e">
        <f>IF(VLOOKUP(はじめに入力してください!L20,リスト!A:DX,126,FALSE)="","",VLOOKUP(はじめに入力してください!L20,リスト!A:DX,128,FALSE))</f>
        <v>#N/A</v>
      </c>
      <c r="E24" s="751"/>
      <c r="F24" s="751"/>
      <c r="G24" s="751"/>
      <c r="H24" s="751"/>
    </row>
    <row r="25" spans="1:13" ht="45" customHeight="1">
      <c r="B25" s="748" t="s">
        <v>771</v>
      </c>
      <c r="C25" s="749"/>
      <c r="D25" s="767"/>
      <c r="E25" s="768"/>
      <c r="F25" s="768"/>
      <c r="G25" s="768"/>
      <c r="H25" s="768"/>
    </row>
    <row r="26" spans="1:13" ht="45" customHeight="1"/>
    <row r="27" spans="1:13" ht="45" customHeight="1"/>
    <row r="28" spans="1:13" ht="45" customHeight="1"/>
    <row r="29" spans="1:13" ht="45" customHeight="1"/>
    <row r="30" spans="1:13" ht="45" customHeight="1"/>
    <row r="31" spans="1:13" ht="45" customHeight="1"/>
    <row r="32" spans="1:13" ht="45" customHeight="1">
      <c r="L32" s="355" t="s">
        <v>128</v>
      </c>
      <c r="M32" s="355" t="s">
        <v>82</v>
      </c>
    </row>
    <row r="33" spans="12:13" ht="45" customHeight="1">
      <c r="L33" s="763" t="str">
        <f>IF(LEN(D25)=7,"○","×")</f>
        <v>×</v>
      </c>
      <c r="M33" s="765" t="str">
        <f>IF(LEN(D25)=7,"適切に入力がされました。"&amp;CHAR(10)&amp;"※右肩の日付は入力しないでください。",
"【要修正】７桁の振込先口座番号を入力してください。"&amp;CHAR(10)&amp;"※先頭が０の場合も必ず入力してください。"&amp;CHAR(10)&amp;"※右肩の日付は入力しないでください。")</f>
        <v>【要修正】７桁の振込先口座番号を入力してください。
※先頭が０の場合も必ず入力してください。
※右肩の日付は入力しないでください。</v>
      </c>
    </row>
    <row r="34" spans="12:13" ht="45" customHeight="1">
      <c r="L34" s="764"/>
      <c r="M34" s="766"/>
    </row>
    <row r="35" spans="12:13" ht="45" customHeight="1"/>
    <row r="36" spans="12:13" ht="45" customHeight="1"/>
    <row r="37" spans="12:13" ht="45" customHeight="1"/>
    <row r="38" spans="12:13" ht="45" customHeight="1"/>
    <row r="39" spans="12:13" ht="45" customHeight="1"/>
    <row r="40" spans="12:13" ht="45" customHeight="1"/>
    <row r="41" spans="12:13" ht="45" customHeight="1"/>
    <row r="42" spans="12:13" ht="45" customHeight="1"/>
    <row r="43" spans="12:13" ht="45" customHeight="1"/>
    <row r="44" spans="12:13" ht="45" customHeight="1"/>
    <row r="45" spans="12:13" ht="45" customHeight="1"/>
  </sheetData>
  <mergeCells count="20">
    <mergeCell ref="L33:L34"/>
    <mergeCell ref="M33:M34"/>
    <mergeCell ref="B25:C25"/>
    <mergeCell ref="D25:H25"/>
    <mergeCell ref="G1:I1"/>
    <mergeCell ref="B23:C23"/>
    <mergeCell ref="D23:H23"/>
    <mergeCell ref="B24:C24"/>
    <mergeCell ref="D24:H24"/>
    <mergeCell ref="A4:C4"/>
    <mergeCell ref="E6:E7"/>
    <mergeCell ref="F6:I7"/>
    <mergeCell ref="F8:I8"/>
    <mergeCell ref="F9:I9"/>
    <mergeCell ref="F10:I10"/>
    <mergeCell ref="A12:I13"/>
    <mergeCell ref="A15:I16"/>
    <mergeCell ref="A17:I17"/>
    <mergeCell ref="B22:C22"/>
    <mergeCell ref="D22:H22"/>
  </mergeCells>
  <phoneticPr fontId="5"/>
  <conditionalFormatting sqref="L33:L34">
    <cfRule type="containsText" dxfId="86" priority="2" operator="containsText" text="×">
      <formula>NOT(ISERROR(SEARCH("×",L33)))</formula>
    </cfRule>
  </conditionalFormatting>
  <conditionalFormatting sqref="M33:M34">
    <cfRule type="containsText" dxfId="85" priority="1" operator="containsText" text="要修正">
      <formula>NOT(ISERROR(SEARCH("要修正",M33)))</formula>
    </cfRule>
  </conditionalFormatting>
  <pageMargins left="0.7" right="0.7" top="0.75" bottom="0.75" header="0.3" footer="0.3"/>
  <pageSetup paperSize="9"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B1:P46"/>
  <sheetViews>
    <sheetView showGridLines="0" view="pageBreakPreview" zoomScale="30" zoomScaleNormal="100" zoomScaleSheetLayoutView="30" workbookViewId="0">
      <pane xSplit="1" ySplit="6" topLeftCell="B7" activePane="bottomRight" state="frozen"/>
      <selection activeCell="B6" sqref="B6:B17"/>
      <selection pane="topRight" activeCell="B6" sqref="B6:B17"/>
      <selection pane="bottomLeft" activeCell="B6" sqref="B6:B17"/>
      <selection pane="bottomRight" activeCell="E10" sqref="E10"/>
    </sheetView>
  </sheetViews>
  <sheetFormatPr defaultColWidth="9" defaultRowHeight="18"/>
  <cols>
    <col min="1" max="1" width="2.58203125" style="252" customWidth="1"/>
    <col min="2" max="3" width="20.58203125" style="252" customWidth="1"/>
    <col min="4" max="11" width="18.58203125" style="252" customWidth="1"/>
    <col min="12" max="12" width="11.08203125" style="252" customWidth="1"/>
    <col min="13" max="14" width="2.58203125" style="252" customWidth="1"/>
    <col min="15" max="15" width="15" style="252" customWidth="1"/>
    <col min="16" max="16" width="12.75" style="253" customWidth="1"/>
    <col min="17" max="16384" width="9" style="252"/>
  </cols>
  <sheetData>
    <row r="1" spans="2:16" ht="18" customHeight="1">
      <c r="B1" s="252" t="str">
        <f xml:space="preserve">
IF(OR(テーブル!B2="事前協議",テーブル!B2="交付申請",テーブル!B2="交付申請（２次以降）"),"様式１－１",
IF(テーブル!B2="変更申請","様式１－１",
IF(テーブル!B2="実績報告","様式３－１")))</f>
        <v>様式１－１</v>
      </c>
      <c r="K1" s="778" t="str">
        <f>"《２次募集》"&amp;はじめに入力してください!AE20</f>
        <v>《２次募集》</v>
      </c>
      <c r="L1" s="779"/>
      <c r="M1" s="779"/>
    </row>
    <row r="2" spans="2:16" ht="18" customHeight="1">
      <c r="B2" s="780" t="str">
        <f xml:space="preserve">
IF(OR(テーブル!B2="事前協議",テーブル!B2="交付申請",テーブル!B2="交付申請（２次以降）"),"令和４年度　新型コロナウイルス感染症患者等入院医療機関設備整備費補助金経費所要額調書",
IF(テーブル!B2="変更申請","令和４年度　新型コロナウイルス感染症患者等入院医療機関設備整備費補助金経費所要額調書",
IF(テーブル!B2="実績報告","令和４年度　新型コロナウイルス感染症患者等入院医療機関設備整備費補助金経費精算書")))</f>
        <v>令和４年度　新型コロナウイルス感染症患者等入院医療機関設備整備費補助金経費所要額調書</v>
      </c>
      <c r="C2" s="780"/>
      <c r="D2" s="780"/>
      <c r="E2" s="780"/>
      <c r="F2" s="780"/>
      <c r="G2" s="780"/>
      <c r="H2" s="780"/>
      <c r="I2" s="780"/>
      <c r="J2" s="780"/>
      <c r="K2" s="780"/>
      <c r="L2" s="780"/>
    </row>
    <row r="3" spans="2:16" ht="18" customHeight="1">
      <c r="B3" s="407"/>
      <c r="C3" s="407"/>
      <c r="D3" s="407"/>
      <c r="E3" s="407"/>
      <c r="F3" s="407"/>
      <c r="G3" s="407"/>
      <c r="I3" s="254" t="s">
        <v>94</v>
      </c>
      <c r="J3" s="781" t="str">
        <f>IF(額内訳書!H10=0,"",額内訳書!H10)</f>
        <v/>
      </c>
      <c r="K3" s="782"/>
      <c r="L3" s="255"/>
    </row>
    <row r="4" spans="2:16" ht="18" customHeight="1">
      <c r="B4" s="256"/>
      <c r="C4" s="256"/>
      <c r="D4" s="256"/>
      <c r="E4" s="256"/>
      <c r="F4" s="256"/>
      <c r="G4" s="256"/>
      <c r="I4" s="257" t="str">
        <f xml:space="preserve">
IF(OR(テーブル!B2="事前協議",テーブル!B2="交付申請",テーブル!B2="交付申請（２次以降）"),"事業完了予定日",
IF(テーブル!B2="変更申請","事業完了予定日",
IF(テーブル!B2="実績報告","事業完了日")))</f>
        <v>事業完了予定日</v>
      </c>
      <c r="J4" s="783" t="str">
        <f>IF(MAX(額内訳書!AG7:AG29)=0,"",MAX(額内訳書!AG7:AG29))</f>
        <v/>
      </c>
      <c r="K4" s="783"/>
      <c r="L4" s="258"/>
    </row>
    <row r="5" spans="2:16" s="260" customFormat="1" ht="55" customHeight="1" thickBot="1">
      <c r="B5" s="259" t="s">
        <v>593</v>
      </c>
      <c r="C5" s="259"/>
      <c r="D5" s="259" t="s">
        <v>594</v>
      </c>
      <c r="E5" s="259" t="str">
        <f xml:space="preserve">
IF(OR(テーブル!B2="事前協議",テーブル!B2="交付申請",テーブル!B2="交付申請（２次以降）"),"寄付金その他の"&amp;CHAR(10)&amp;"収入予定額"&amp;CHAR(10)&amp;"(B)",
IF(テーブル!B2="変更申請","寄付金その他の"&amp;CHAR(10)&amp;"収入予定額"&amp;CHAR(10)&amp;"(B)",
IF(テーブル!B2="実績報告","寄付金その他の"&amp;CHAR(10)&amp;"収入済額"&amp;CHAR(10)&amp;"(B)")))</f>
        <v>寄付金その他の
収入予定額
(B)</v>
      </c>
      <c r="F5" s="259" t="s">
        <v>595</v>
      </c>
      <c r="G5" s="259" t="str">
        <f xml:space="preserve">
IF(OR(テーブル!B2="事前協議",テーブル!B2="交付申請",テーブル!B2="交付申請（２次以降）"),"対象経費"&amp;CHAR(10)&amp;"支出予定額"&amp;CHAR(10)&amp;"(D)",
IF(テーブル!B2="変更申請","対象経費"&amp;CHAR(10)&amp;"支出予定額"&amp;CHAR(10)&amp;"(D)",
IF(テーブル!B2="実績報告","対象経費"&amp;CHAR(10)&amp;"支出済額"&amp;CHAR(10)&amp;"(D)")))</f>
        <v>対象経費
支出予定額
(D)</v>
      </c>
      <c r="H5" s="259" t="s">
        <v>596</v>
      </c>
      <c r="I5" s="259" t="s">
        <v>597</v>
      </c>
      <c r="J5" s="259" t="s">
        <v>598</v>
      </c>
      <c r="K5" s="259" t="s">
        <v>599</v>
      </c>
      <c r="L5" s="259" t="s">
        <v>600</v>
      </c>
      <c r="P5" s="261"/>
    </row>
    <row r="6" spans="2:16" ht="20.149999999999999" hidden="1" customHeight="1">
      <c r="B6" s="262"/>
      <c r="C6" s="262"/>
      <c r="D6" s="263" t="s">
        <v>570</v>
      </c>
      <c r="E6" s="263" t="s">
        <v>570</v>
      </c>
      <c r="F6" s="263" t="s">
        <v>570</v>
      </c>
      <c r="G6" s="263" t="s">
        <v>570</v>
      </c>
      <c r="H6" s="263" t="s">
        <v>570</v>
      </c>
      <c r="I6" s="263" t="s">
        <v>570</v>
      </c>
      <c r="J6" s="263" t="s">
        <v>570</v>
      </c>
      <c r="K6" s="263" t="s">
        <v>570</v>
      </c>
      <c r="L6" s="264"/>
    </row>
    <row r="7" spans="2:16" ht="17.149999999999999" customHeight="1">
      <c r="B7" s="769" t="s">
        <v>656</v>
      </c>
      <c r="C7" s="773" t="s">
        <v>133</v>
      </c>
      <c r="D7" s="265">
        <f>額内訳書!K7</f>
        <v>0</v>
      </c>
      <c r="E7" s="307">
        <v>0</v>
      </c>
      <c r="F7" s="265">
        <f>D7-E7</f>
        <v>0</v>
      </c>
      <c r="G7" s="265">
        <f>F7</f>
        <v>0</v>
      </c>
      <c r="H7" s="265">
        <f>額内訳書!G7</f>
        <v>0</v>
      </c>
      <c r="I7" s="265">
        <f>計上!D20</f>
        <v>0</v>
      </c>
      <c r="J7" s="265">
        <f>I7</f>
        <v>0</v>
      </c>
      <c r="K7" s="265">
        <f>ROUNDDOWN(J7,-3)</f>
        <v>0</v>
      </c>
      <c r="L7" s="775" t="str">
        <f xml:space="preserve">
IF(OR(テーブル!B2="事前協議",テーブル!B2="交付申請",テーブル!B2="交付申請（２次以降）"),"内訳は様式1-2のとおり",
IF(テーブル!B2="変更申請","内訳は様式1-2のとおり",
IF(テーブル!B2="実績報告","内訳は様式3-2のとおり")))</f>
        <v>内訳は様式1-2のとおり</v>
      </c>
    </row>
    <row r="8" spans="2:16" ht="17.149999999999999" customHeight="1">
      <c r="B8" s="770"/>
      <c r="C8" s="774"/>
      <c r="D8" s="266" t="str">
        <f>IF(テーブル!B2="変更申請",IFERROR(VLOOKUP(はじめに入力してください!L20,リスト!A:DR,3,FALSE),""),"")</f>
        <v/>
      </c>
      <c r="E8" s="308" t="str">
        <f>IF(テーブル!B2="変更申請",IFERROR(VLOOKUP(はじめに入力してください!L20,リスト!A:DR,4,FALSE),""),"")</f>
        <v/>
      </c>
      <c r="F8" s="266" t="str">
        <f>IF(テーブル!B2="変更申請",IFERROR(VLOOKUP(はじめに入力してください!L20,リスト!A:DR,5,FALSE),""),"")</f>
        <v/>
      </c>
      <c r="G8" s="266" t="str">
        <f>IF(テーブル!B2="変更申請",IFERROR(VLOOKUP(はじめに入力してくださいL20,リスト!A:DR,6,FALSE),""),"")</f>
        <v/>
      </c>
      <c r="H8" s="266" t="str">
        <f>IF(テーブル!B2="変更申請",IFERROR(VLOOKUP(はじめに入力してください!L20,リスト!A:DR,7,FALSE),""),"")</f>
        <v/>
      </c>
      <c r="I8" s="266" t="str">
        <f>IF(テーブル!B2="変更申請",IFERROR(VLOOKUP(はじめに入力してください!L20,リスト!A:DR,8,FALSE),""),"")</f>
        <v/>
      </c>
      <c r="J8" s="266" t="str">
        <f>IF(テーブル!B2="変更申請",IFERROR(VLOOKUP(はじめに入力してください!L20,リスト!A:DR,9,FALSE),""),"")</f>
        <v/>
      </c>
      <c r="K8" s="266" t="str">
        <f>IF(テーブル!B2="変更申請",IFERROR(VLOOKUP(はじめに入力してください!L20,リスト!A:DR,10,FALSE),""),"")</f>
        <v/>
      </c>
      <c r="L8" s="776"/>
      <c r="O8" s="256"/>
      <c r="P8" s="267"/>
    </row>
    <row r="9" spans="2:16" ht="17.149999999999999" customHeight="1">
      <c r="B9" s="771"/>
      <c r="C9" s="777" t="s">
        <v>138</v>
      </c>
      <c r="D9" s="268">
        <f>額内訳書!K8</f>
        <v>0</v>
      </c>
      <c r="E9" s="309">
        <v>0</v>
      </c>
      <c r="F9" s="268">
        <f>D9-E9</f>
        <v>0</v>
      </c>
      <c r="G9" s="268">
        <f>F9</f>
        <v>0</v>
      </c>
      <c r="H9" s="268">
        <f>額内訳書!G8</f>
        <v>0</v>
      </c>
      <c r="I9" s="268">
        <f>計上!F20</f>
        <v>0</v>
      </c>
      <c r="J9" s="268">
        <f>I9</f>
        <v>0</v>
      </c>
      <c r="K9" s="268">
        <f>ROUNDDOWN(J9,-3)</f>
        <v>0</v>
      </c>
      <c r="L9" s="776"/>
      <c r="O9" s="256"/>
      <c r="P9" s="267"/>
    </row>
    <row r="10" spans="2:16" ht="17.149999999999999" customHeight="1">
      <c r="B10" s="771"/>
      <c r="C10" s="774"/>
      <c r="D10" s="266" t="str">
        <f>IF(テーブル!B2="変更申請",IFERROR(VLOOKUP(はじめに入力してください!L20,リスト!A:DR,11,FALSE),""),"")</f>
        <v/>
      </c>
      <c r="E10" s="308" t="str">
        <f>IF(テーブル!B2="変更申請",IFERROR(VLOOKUP(はじめに入力してください!L20,リスト!A:DR,12,FALSE),""),"")</f>
        <v/>
      </c>
      <c r="F10" s="266" t="str">
        <f>IF(テーブル!B2="変更申請",IFERROR(VLOOKUP(はじめに入力してください!L20,リスト!A:DR,13,FALSE),""),"")</f>
        <v/>
      </c>
      <c r="G10" s="266" t="str">
        <f>IF(テーブル!B2="変更申請",IFERROR(VLOOKUP(はじめに入力してください!L20,リスト!A:DR,14,FALSE),""),"")</f>
        <v/>
      </c>
      <c r="H10" s="266" t="str">
        <f>IF(テーブル!B2="変更申請",IFERROR(VLOOKUP(はじめに入力してください!L20,リスト!A:DR,15,FALSE),""),"")</f>
        <v/>
      </c>
      <c r="I10" s="266" t="str">
        <f>IF(テーブル!B2="変更申請",IFERROR(VLOOKUP(はじめに入力してください!L20,リスト!A:DR,16,FALSE),""),"")</f>
        <v/>
      </c>
      <c r="J10" s="266" t="str">
        <f>IF(テーブル!B2="変更申請",IFERROR(VLOOKUP(はじめに入力してください!L20,リスト!A:DR,17,FALSE),""),"")</f>
        <v/>
      </c>
      <c r="K10" s="266" t="str">
        <f>IF(テーブル!B2="変更申請",IFERROR(VLOOKUP(はじめに入力してください!L20,リスト!A:DR,18,FALSE),""),"")</f>
        <v/>
      </c>
      <c r="L10" s="776"/>
    </row>
    <row r="11" spans="2:16" ht="17.149999999999999" customHeight="1">
      <c r="B11" s="771"/>
      <c r="C11" s="777" t="s">
        <v>142</v>
      </c>
      <c r="D11" s="268">
        <f>額内訳書!K9</f>
        <v>0</v>
      </c>
      <c r="E11" s="309">
        <v>0</v>
      </c>
      <c r="F11" s="268">
        <f>D11-E11</f>
        <v>0</v>
      </c>
      <c r="G11" s="268">
        <f>F11</f>
        <v>0</v>
      </c>
      <c r="H11" s="268">
        <f>額内訳書!G9</f>
        <v>0</v>
      </c>
      <c r="I11" s="268">
        <f>MIN(G11,H11)</f>
        <v>0</v>
      </c>
      <c r="J11" s="268">
        <f>I11</f>
        <v>0</v>
      </c>
      <c r="K11" s="268">
        <f>ROUNDDOWN(J11,-3)</f>
        <v>0</v>
      </c>
      <c r="L11" s="776"/>
    </row>
    <row r="12" spans="2:16" ht="17.149999999999999" customHeight="1">
      <c r="B12" s="771"/>
      <c r="C12" s="774"/>
      <c r="D12" s="266" t="str">
        <f>IF(テーブル!B2="変更申請",IFERROR(VLOOKUP(はじめに入力してください!L20,リスト!A:DR,19,FALSE),""),"")</f>
        <v/>
      </c>
      <c r="E12" s="308" t="str">
        <f>IF(テーブル!B2="変更申請",IFERROR(VLOOKUP(はじめに入力してください!L20,リスト!A:DR,20,FALSE),""),"")</f>
        <v/>
      </c>
      <c r="F12" s="266" t="str">
        <f>IF(テーブル!B2="変更申請",IFERROR(VLOOKUP(はじめに入力してください!L20,リスト!A:DR,21,FALSE),""),"")</f>
        <v/>
      </c>
      <c r="G12" s="266" t="str">
        <f>IF(テーブル!B2="変更申請",IFERROR(VLOOKUP(はじめに入力してください!L20,リスト!A:DR,22,FALSE),""),"")</f>
        <v/>
      </c>
      <c r="H12" s="266" t="str">
        <f>IF(テーブル!B2="変更申請",IFERROR(VLOOKUP(はじめに入力してください!L20,リスト!A:DR,23,FALSE),""),"")</f>
        <v/>
      </c>
      <c r="I12" s="266" t="str">
        <f>IF(テーブル!B2="変更申請",IFERROR(VLOOKUP(はじめに入力してください!L20,リスト!A:DR,24,FALSE),""),"")</f>
        <v/>
      </c>
      <c r="J12" s="266" t="str">
        <f>IF(テーブル!B2="変更申請",IFERROR(VLOOKUP(はじめに入力してください!L20,リスト!A:DR,25,FALSE),""),"")</f>
        <v/>
      </c>
      <c r="K12" s="266" t="str">
        <f>IF(テーブル!B2="変更申請",IFERROR(VLOOKUP(はじめに入力してください!L20,リスト!A:DR,26,FALSE),""),"")</f>
        <v/>
      </c>
      <c r="L12" s="776"/>
    </row>
    <row r="13" spans="2:16" ht="17.149999999999999" customHeight="1">
      <c r="B13" s="771"/>
      <c r="C13" s="777" t="s">
        <v>602</v>
      </c>
      <c r="D13" s="268">
        <f>額内訳書!K10</f>
        <v>0</v>
      </c>
      <c r="E13" s="309">
        <v>0</v>
      </c>
      <c r="F13" s="268">
        <f>D13-E13</f>
        <v>0</v>
      </c>
      <c r="G13" s="268">
        <f>F13</f>
        <v>0</v>
      </c>
      <c r="H13" s="268">
        <f>額内訳書!G10</f>
        <v>0</v>
      </c>
      <c r="I13" s="268">
        <f>計上!J20</f>
        <v>0</v>
      </c>
      <c r="J13" s="268">
        <f>I13</f>
        <v>0</v>
      </c>
      <c r="K13" s="268">
        <f>ROUNDDOWN(J13,-3)</f>
        <v>0</v>
      </c>
      <c r="L13" s="776"/>
    </row>
    <row r="14" spans="2:16" ht="17.149999999999999" customHeight="1">
      <c r="B14" s="771"/>
      <c r="C14" s="774"/>
      <c r="D14" s="266" t="str">
        <f>IF(テーブル!B2="変更申請",IFERROR(VLOOKUP(はじめに入力してください!L20,リスト!A:DR,27,FALSE),""),"")</f>
        <v/>
      </c>
      <c r="E14" s="308" t="str">
        <f>IF(テーブル!B2="変更申請",IFERROR(VLOOKUP(はじめに入力してください!L20,リスト!A:DR,28,FALSE),""),"")</f>
        <v/>
      </c>
      <c r="F14" s="266" t="str">
        <f>IF(テーブル!B2="変更申請",IFERROR(VLOOKUP(はじめに入力してください!L20,リスト!A:DR,29,FALSE),""),"")</f>
        <v/>
      </c>
      <c r="G14" s="266" t="str">
        <f>IF(テーブル!B2="変更申請",IFERROR(VLOOKUP(はじめに入力してください!L20,リスト!A:DR,30,FALSE),""),"")</f>
        <v/>
      </c>
      <c r="H14" s="266" t="str">
        <f>IF(テーブル!B2="変更申請",IFERROR(VLOOKUP(はじめに入力してください!L20,リスト!A:DR,31,FALSE),""),"")</f>
        <v/>
      </c>
      <c r="I14" s="266" t="str">
        <f>IF(テーブル!B2="変更申請",IFERROR(VLOOKUP(はじめに入力してください!L20,リスト!A:DR,32,FALSE),""),"")</f>
        <v/>
      </c>
      <c r="J14" s="266" t="str">
        <f>IF(テーブル!B2="変更申請",IFERROR(VLOOKUP(はじめに入力してください!L20,リスト!A:DR,33,FALSE),""),"")</f>
        <v/>
      </c>
      <c r="K14" s="266" t="str">
        <f>IF(テーブル!B2="変更申請",IFERROR(VLOOKUP(はじめに入力してください!L20,リスト!A:DR,34,FALSE),""),"")</f>
        <v/>
      </c>
      <c r="L14" s="776"/>
    </row>
    <row r="15" spans="2:16" ht="17.149999999999999" customHeight="1">
      <c r="B15" s="771"/>
      <c r="C15" s="777" t="s">
        <v>604</v>
      </c>
      <c r="D15" s="268">
        <f>SUM(額内訳書!K11:K14)</f>
        <v>0</v>
      </c>
      <c r="E15" s="309">
        <v>0</v>
      </c>
      <c r="F15" s="268">
        <f>D15-E15</f>
        <v>0</v>
      </c>
      <c r="G15" s="268">
        <f>F15</f>
        <v>0</v>
      </c>
      <c r="H15" s="268">
        <f>SUM(額内訳書!G11:G14)</f>
        <v>0</v>
      </c>
      <c r="I15" s="268">
        <f>計上!L20</f>
        <v>0</v>
      </c>
      <c r="J15" s="268">
        <f>I15</f>
        <v>0</v>
      </c>
      <c r="K15" s="268">
        <f>ROUNDDOWN(J15,-3)</f>
        <v>0</v>
      </c>
      <c r="L15" s="776"/>
    </row>
    <row r="16" spans="2:16" ht="17.149999999999999" customHeight="1">
      <c r="B16" s="771"/>
      <c r="C16" s="774"/>
      <c r="D16" s="266" t="str">
        <f>IF(テーブル!B2="変更申請",IFERROR(VLOOKUP(はじめに入力してください!L20,リスト!A:DR,35,FALSE),""),"")</f>
        <v/>
      </c>
      <c r="E16" s="308" t="str">
        <f>IF(テーブル!B2="変更申請",IFERROR(VLOOKUP(はじめに入力してください!L20,リスト!A:DR,36,FALSE),""),"")</f>
        <v/>
      </c>
      <c r="F16" s="266" t="str">
        <f>IF(テーブル!B2="変更申請",IFERROR(VLOOKUP(はじめに入力してください!L20,リスト!A:DR,37,FALSE),""),"")</f>
        <v/>
      </c>
      <c r="G16" s="266" t="str">
        <f>IF(テーブル!B2="変更申請",IFERROR(VLOOKUP(はじめに入力してください!L20,リスト!A:DR,38,FALSE),""),"")</f>
        <v/>
      </c>
      <c r="H16" s="266" t="str">
        <f>IF(テーブル!B2="変更申請",IFERROR(VLOOKUP(はじめに入力してください!L20,リスト!A:DR,39,FALSE),""),"")</f>
        <v/>
      </c>
      <c r="I16" s="266" t="str">
        <f>IF(テーブル!B2="変更申請",IFERROR(VLOOKUP(はじめに入力してください!L20,リスト!A:DR,40,FALSE),""),"")</f>
        <v/>
      </c>
      <c r="J16" s="266" t="str">
        <f>IF(テーブル!B2="変更申請",IFERROR(VLOOKUP(はじめに入力してください!L20,リスト!A:DR,41,FALSE),""),"")</f>
        <v/>
      </c>
      <c r="K16" s="266" t="str">
        <f>IF(テーブル!B2="変更申請",IFERROR(VLOOKUP(はじめに入力してください!L20,リスト!A:DR,42,FALSE),""),"")</f>
        <v/>
      </c>
      <c r="L16" s="776"/>
    </row>
    <row r="17" spans="2:16" ht="17.149999999999999" customHeight="1">
      <c r="B17" s="771"/>
      <c r="C17" s="777" t="s">
        <v>578</v>
      </c>
      <c r="D17" s="268">
        <f>SUM(額内訳書!K15:K17)</f>
        <v>0</v>
      </c>
      <c r="E17" s="309">
        <v>0</v>
      </c>
      <c r="F17" s="268">
        <f>D17-E17</f>
        <v>0</v>
      </c>
      <c r="G17" s="268">
        <f>F17</f>
        <v>0</v>
      </c>
      <c r="H17" s="268">
        <f>SUM(額内訳書!G15:G17)</f>
        <v>0</v>
      </c>
      <c r="I17" s="268">
        <f>計上!N20</f>
        <v>0</v>
      </c>
      <c r="J17" s="268">
        <f>I17</f>
        <v>0</v>
      </c>
      <c r="K17" s="268">
        <f>ROUNDDOWN(J17,-3)</f>
        <v>0</v>
      </c>
      <c r="L17" s="776"/>
      <c r="O17" s="256"/>
      <c r="P17" s="267"/>
    </row>
    <row r="18" spans="2:16" ht="17.149999999999999" customHeight="1">
      <c r="B18" s="771"/>
      <c r="C18" s="774"/>
      <c r="D18" s="266" t="str">
        <f>IF(テーブル!B2="変更申請",IFERROR(VLOOKUP(はじめに入力してください!L20,リスト!A:DR,43,FALSE),""),"")</f>
        <v/>
      </c>
      <c r="E18" s="308" t="str">
        <f>IF(テーブル!B2="変更申請",IFERROR(VLOOKUP(はじめに入力してください!L20,リスト!A:DR,44,FALSE),""),"")</f>
        <v/>
      </c>
      <c r="F18" s="266" t="str">
        <f>IF(テーブル!B2="変更申請",IFERROR(VLOOKUP(はじめに入力してください!L20,リスト!A:DR,45,FALSE),""),"")</f>
        <v/>
      </c>
      <c r="G18" s="266" t="str">
        <f>IF(テーブル!B2="変更申請",IFERROR(VLOOKUP(はじめに入力してください!L20,リスト!A:DR,46,FALSE),""),"")</f>
        <v/>
      </c>
      <c r="H18" s="266" t="str">
        <f>IF(テーブル!B2="変更申請",IFERROR(VLOOKUP(はじめに入力してください!L20,リスト!A:DR,47,FALSE),""),"")</f>
        <v/>
      </c>
      <c r="I18" s="266" t="str">
        <f>IF(テーブル!B2="変更申請",IFERROR(VLOOKUP(はじめに入力してください!L20,リスト!A:DR,48,FALSE),""),"")</f>
        <v/>
      </c>
      <c r="J18" s="266" t="str">
        <f>IF(テーブル!B2="変更申請",IFERROR(VLOOKUP(はじめに入力してください!L20,リスト!A:DR,49,FALSE),""),"")</f>
        <v/>
      </c>
      <c r="K18" s="266" t="str">
        <f>IF(テーブル!B2="変更申請",IFERROR(VLOOKUP(はじめに入力してください!L20,リスト!A:DR,50,FALSE),""),"")</f>
        <v/>
      </c>
      <c r="L18" s="776"/>
    </row>
    <row r="19" spans="2:16" ht="17.149999999999999" customHeight="1">
      <c r="B19" s="771"/>
      <c r="C19" s="777" t="s">
        <v>145</v>
      </c>
      <c r="D19" s="268">
        <f>額内訳書!K18</f>
        <v>0</v>
      </c>
      <c r="E19" s="309">
        <v>0</v>
      </c>
      <c r="F19" s="268">
        <f>D19-E19</f>
        <v>0</v>
      </c>
      <c r="G19" s="268">
        <f>F19</f>
        <v>0</v>
      </c>
      <c r="H19" s="268">
        <f>額内訳書!G18</f>
        <v>0</v>
      </c>
      <c r="I19" s="268">
        <f>ROUNDDOWN(MIN(G19,H19),-3)</f>
        <v>0</v>
      </c>
      <c r="J19" s="268">
        <f>I19</f>
        <v>0</v>
      </c>
      <c r="K19" s="268">
        <f>ROUNDDOWN(J19,-3)</f>
        <v>0</v>
      </c>
      <c r="L19" s="776"/>
    </row>
    <row r="20" spans="2:16" ht="17.149999999999999" customHeight="1">
      <c r="B20" s="772"/>
      <c r="C20" s="774"/>
      <c r="D20" s="266" t="str">
        <f>IF(テーブル!B2="変更申請",IFERROR(VLOOKUP(はじめに入力してください!L20,リスト!A:DR,51,FALSE),""),"")</f>
        <v/>
      </c>
      <c r="E20" s="308" t="str">
        <f>IF(テーブル!B2="変更申請",IFERROR(VLOOKUP(はじめに入力してください!L20,リスト!A:DR,52,FALSE),""),"")</f>
        <v/>
      </c>
      <c r="F20" s="266" t="str">
        <f>IF(テーブル!B2="変更申請",IFERROR(VLOOKUP(はじめに入力してください!L20,リスト!A:DR,53,FALSE),""),"")</f>
        <v/>
      </c>
      <c r="G20" s="266" t="str">
        <f>IF(テーブル!B2="変更申請",IFERROR(VLOOKUP(はじめに入力してください!L20,リスト!A:DR,54,FALSE),""),"")</f>
        <v/>
      </c>
      <c r="H20" s="266" t="str">
        <f>IF(テーブル!B2="変更申請",IFERROR(VLOOKUP(はじめに入力してください!L20,リスト!A:DR,55,FALSE),""),"")</f>
        <v/>
      </c>
      <c r="I20" s="266" t="str">
        <f>IF(テーブル!B2="変更申請",IFERROR(VLOOKUP(はじめに入力してください!L20,リスト!A:DR,56,FALSE),""),"")</f>
        <v/>
      </c>
      <c r="J20" s="266" t="str">
        <f>IF(テーブル!B2="変更申請",IFERROR(VLOOKUP(はじめに入力してください!L20,リスト!A:DR,57,FALSE),""),"")</f>
        <v/>
      </c>
      <c r="K20" s="266" t="str">
        <f>IF(テーブル!B2="変更申請",IFERROR(VLOOKUP(はじめに入力してください!L20,リスト!A:DR,58,FALSE),""),"")</f>
        <v/>
      </c>
      <c r="L20" s="776"/>
    </row>
    <row r="21" spans="2:16" ht="17.149999999999999" customHeight="1">
      <c r="B21" s="784" t="s">
        <v>657</v>
      </c>
      <c r="C21" s="785" t="s">
        <v>606</v>
      </c>
      <c r="D21" s="268">
        <f>SUM(額内訳書!K19:K21)</f>
        <v>0</v>
      </c>
      <c r="E21" s="309">
        <v>0</v>
      </c>
      <c r="F21" s="268">
        <f>D21-E21</f>
        <v>0</v>
      </c>
      <c r="G21" s="268">
        <f>F21</f>
        <v>0</v>
      </c>
      <c r="H21" s="268">
        <f>額内訳書!G20</f>
        <v>0</v>
      </c>
      <c r="I21" s="268">
        <f>ROUNDDOWN(MIN(G21,H21),-3)</f>
        <v>0</v>
      </c>
      <c r="J21" s="268">
        <f>I21</f>
        <v>0</v>
      </c>
      <c r="K21" s="268">
        <f>ROUNDDOWN(J21*1/2,-3)</f>
        <v>0</v>
      </c>
      <c r="L21" s="776"/>
    </row>
    <row r="22" spans="2:16" ht="17.149999999999999" customHeight="1" thickBot="1">
      <c r="B22" s="770"/>
      <c r="C22" s="786"/>
      <c r="D22" s="266" t="str">
        <f>IF(テーブル!B2="変更申請",IFERROR(VLOOKUP(はじめに入力してください!L20,リスト!A:DR,59,FALSE),""),"")</f>
        <v/>
      </c>
      <c r="E22" s="308" t="str">
        <f>IF(テーブル!B2="変更申請",IFERROR(VLOOKUP(はじめに入力してください!L20,リスト!A:DR,60,FALSE),""),"")</f>
        <v/>
      </c>
      <c r="F22" s="266" t="str">
        <f>IF(テーブル!B2="変更申請",IFERROR(VLOOKUP(はじめに入力してください!L20,リスト!A:DR,61,FALSE),""),"")</f>
        <v/>
      </c>
      <c r="G22" s="266" t="str">
        <f>IF(テーブル!B2="変更申請",IFERROR(VLOOKUP(はじめに入力してください!L20,リスト!A:DR,62,FALSE),""),"")</f>
        <v/>
      </c>
      <c r="H22" s="266" t="str">
        <f>IF(テーブル!B2="変更申請",IFERROR(VLOOKUP(はじめに入力してください!L20,リスト!A:DR,63,FALSE),""),"")</f>
        <v/>
      </c>
      <c r="I22" s="266" t="str">
        <f>IF(テーブル!B2="変更申請",IFERROR(VLOOKUP(はじめに入力してください!L20,リスト!A:DR,64,FALSE),""),"")</f>
        <v/>
      </c>
      <c r="J22" s="266" t="str">
        <f>IF(テーブル!B2="変更申請",IFERROR(VLOOKUP(はじめに入力してください!L20,リスト!A:DR,65,FALSE),""),"")</f>
        <v/>
      </c>
      <c r="K22" s="266" t="str">
        <f>IF(テーブル!B2="変更申請",IFERROR(VLOOKUP(はじめに入力してください!L20,リスト!A:DR,66,FALSE),""),"")</f>
        <v/>
      </c>
      <c r="L22" s="776"/>
    </row>
    <row r="23" spans="2:16" ht="17.149999999999999" customHeight="1" thickTop="1">
      <c r="B23" s="269" t="s">
        <v>97</v>
      </c>
      <c r="C23" s="270"/>
      <c r="D23" s="271">
        <f>SUM(D7,D9,D11,D13,D15,D17,D19,D21)</f>
        <v>0</v>
      </c>
      <c r="E23" s="271">
        <f t="shared" ref="E23:K23" si="0">SUM(E7,E9,E11,E13,E15,E17,E19,E21)</f>
        <v>0</v>
      </c>
      <c r="F23" s="271">
        <f>SUM(F7,F9,F11,F13,F15,F17,F19,F21)</f>
        <v>0</v>
      </c>
      <c r="G23" s="271">
        <f t="shared" si="0"/>
        <v>0</v>
      </c>
      <c r="H23" s="271">
        <f t="shared" si="0"/>
        <v>0</v>
      </c>
      <c r="I23" s="271">
        <f t="shared" si="0"/>
        <v>0</v>
      </c>
      <c r="J23" s="271">
        <f t="shared" si="0"/>
        <v>0</v>
      </c>
      <c r="K23" s="271">
        <f t="shared" si="0"/>
        <v>0</v>
      </c>
      <c r="L23" s="272"/>
      <c r="P23" s="252"/>
    </row>
    <row r="24" spans="2:16" ht="17.149999999999999" customHeight="1" thickBot="1">
      <c r="B24" s="273"/>
      <c r="C24" s="274"/>
      <c r="D24" s="275" t="str">
        <f>IF(テーブル!B2="変更申請",SUM(D8,D10,D12,D14,D16,D18,D20,D22),"")</f>
        <v/>
      </c>
      <c r="E24" s="275" t="str">
        <f>IF(テーブル!B2="変更申請",SUM(E8,E10,E12,E14,E16,E18,E20,E22),"")</f>
        <v/>
      </c>
      <c r="F24" s="275" t="str">
        <f>IF(テーブル!B2="変更申請",SUM(F8,F10,F12,F14,F16,F18,F20,F22),"")</f>
        <v/>
      </c>
      <c r="G24" s="275" t="str">
        <f>IF(テーブル!B2="変更申請",SUM(G8,G10,G12,G14,G16,G18,G20,G22),"")</f>
        <v/>
      </c>
      <c r="H24" s="275" t="str">
        <f>IF(テーブル!B2="変更申請",SUM(H8,H10,H12,H14,H16,H18,H20,H22),"")</f>
        <v/>
      </c>
      <c r="I24" s="275" t="str">
        <f>IF(テーブル!B2="変更申請",SUM(I8,I10,I12,I14,I16,I18,I20,I22),"")</f>
        <v/>
      </c>
      <c r="J24" s="275" t="str">
        <f>IF(テーブル!B2="変更申請",SUM(J8,J10,J12,J14,J16,J18,J20,J22),"")</f>
        <v/>
      </c>
      <c r="K24" s="275" t="str">
        <f>IF(テーブル!B2="変更申請",SUM(K8,K10,K12,K14,K16,K18,K20,K22),"")</f>
        <v/>
      </c>
      <c r="L24" s="276"/>
      <c r="P24" s="252"/>
    </row>
    <row r="25" spans="2:16" ht="17.149999999999999" customHeight="1">
      <c r="B25" s="769" t="s">
        <v>658</v>
      </c>
      <c r="C25" s="773" t="s">
        <v>148</v>
      </c>
      <c r="D25" s="265">
        <f>額内訳書!K23</f>
        <v>0</v>
      </c>
      <c r="E25" s="307">
        <v>0</v>
      </c>
      <c r="F25" s="265">
        <f>D25-E25</f>
        <v>0</v>
      </c>
      <c r="G25" s="265">
        <f>F25</f>
        <v>0</v>
      </c>
      <c r="H25" s="265">
        <f>額内訳書!G23</f>
        <v>0</v>
      </c>
      <c r="I25" s="265">
        <f>計上!U20</f>
        <v>0</v>
      </c>
      <c r="J25" s="265">
        <f>I25</f>
        <v>0</v>
      </c>
      <c r="K25" s="265">
        <f>ROUNDDOWN(J25,-3)</f>
        <v>0</v>
      </c>
      <c r="L25" s="775" t="str">
        <f xml:space="preserve">
IF(OR(テーブル!B2="事前協議",テーブル!B2="交付申請",テーブル!B2="交付申請（２次以降）"),"内訳は様式1-2のとおり",
IF(テーブル!B2="変更申請","内訳は様式1-2のとおり",
IF(テーブル!B2="実績報告","内訳は様式3-2のとおり")))</f>
        <v>内訳は様式1-2のとおり</v>
      </c>
    </row>
    <row r="26" spans="2:16" ht="17.149999999999999" customHeight="1">
      <c r="B26" s="770"/>
      <c r="C26" s="774"/>
      <c r="D26" s="266" t="str">
        <f>IF(テーブル!B2="変更申請",IFERROR(VLOOKUP(はじめに入力してください!L20,リスト!A:DR,67,FALSE),""),"")</f>
        <v/>
      </c>
      <c r="E26" s="308" t="str">
        <f>IF(テーブル!B2="変更申請",IFERROR(VLOOKUP(はじめに入力してください!L20,リスト!A:DR,68,FALSE),""),"")</f>
        <v/>
      </c>
      <c r="F26" s="266" t="str">
        <f>IF(テーブル!B2="変更申請",IFERROR(VLOOKUP(はじめに入力してください!L20,リスト!A:DR,69,FALSE),""),"")</f>
        <v/>
      </c>
      <c r="G26" s="266" t="str">
        <f>IF(テーブル!B2="変更申請",IFERROR(VLOOKUP(はじめに入力してください!L20,リスト!A:DR,70,FALSE),""),"")</f>
        <v/>
      </c>
      <c r="H26" s="266" t="str">
        <f>IF(テーブル!B2="変更申請",IFERROR(VLOOKUP(はじめに入力してください!L20,リスト!A:DR,71,FALSE),""),"")</f>
        <v/>
      </c>
      <c r="I26" s="266" t="str">
        <f>IF(テーブル!B2="変更申請",IFERROR(VLOOKUP(はじめに入力してください!L20,リスト!A:DR,72,FALSE),""),"")</f>
        <v/>
      </c>
      <c r="J26" s="266" t="str">
        <f>IF(テーブル!B2="変更申請",IFERROR(VLOOKUP(はじめに入力してください!L20,リスト!A:DR,73,FALSE),""),"")</f>
        <v/>
      </c>
      <c r="K26" s="266" t="str">
        <f>IF(テーブル!B2="変更申請",IFERROR(VLOOKUP(はじめに入力してください!L20,リスト!A:DR,74,FALSE),""),"")</f>
        <v/>
      </c>
      <c r="L26" s="776"/>
      <c r="O26" s="256"/>
      <c r="P26" s="267"/>
    </row>
    <row r="27" spans="2:16" ht="17.149999999999999" customHeight="1">
      <c r="B27" s="771"/>
      <c r="C27" s="777" t="s">
        <v>151</v>
      </c>
      <c r="D27" s="268">
        <f>額内訳書!K24</f>
        <v>0</v>
      </c>
      <c r="E27" s="309">
        <v>0</v>
      </c>
      <c r="F27" s="268">
        <f>D27-E27</f>
        <v>0</v>
      </c>
      <c r="G27" s="268">
        <f>F27</f>
        <v>0</v>
      </c>
      <c r="H27" s="268">
        <f>額内訳書!G24</f>
        <v>0</v>
      </c>
      <c r="I27" s="268">
        <f>計上!W20</f>
        <v>0</v>
      </c>
      <c r="J27" s="268">
        <f>I27</f>
        <v>0</v>
      </c>
      <c r="K27" s="268">
        <f>ROUNDDOWN(J27,-3)</f>
        <v>0</v>
      </c>
      <c r="L27" s="776"/>
      <c r="O27" s="256"/>
      <c r="P27" s="267"/>
    </row>
    <row r="28" spans="2:16" ht="17.149999999999999" customHeight="1">
      <c r="B28" s="771"/>
      <c r="C28" s="774"/>
      <c r="D28" s="266" t="str">
        <f>IF(テーブル!B2="変更申請",IFERROR(VLOOKUP(はじめに入力してください!L20,リスト!A:DR,75,FALSE),""),"")</f>
        <v/>
      </c>
      <c r="E28" s="308" t="str">
        <f>IF(テーブル!B2="変更申請",IFERROR(VLOOKUP(はじめに入力してください!L20,リスト!A:DR,76,FALSE),""),"")</f>
        <v/>
      </c>
      <c r="F28" s="266" t="str">
        <f>IF(テーブル!B2="変更申請",IFERROR(VLOOKUP(はじめに入力してください!L20,リスト!A:DR,77,FALSE),""),"")</f>
        <v/>
      </c>
      <c r="G28" s="266" t="str">
        <f>IF(テーブル!B2="変更申請",IFERROR(VLOOKUP(はじめに入力してください!L20,リスト!A:DR,78,FALSE),""),"")</f>
        <v/>
      </c>
      <c r="H28" s="266" t="str">
        <f>IF(テーブル!B2="変更申請",IFERROR(VLOOKUP(はじめに入力してください!L20,リスト!A:DR,79,FALSE),""),"")</f>
        <v/>
      </c>
      <c r="I28" s="266" t="str">
        <f>IF(テーブル!B2="変更申請",IFERROR(VLOOKUP(はじめに入力してください!L20,リスト!A:DR,80,FALSE),""),"")</f>
        <v/>
      </c>
      <c r="J28" s="266" t="str">
        <f>IF(テーブル!B2="変更申請",IFERROR(VLOOKUP(はじめに入力してください!L20,リスト!A:DR,81,FALSE),""),"")</f>
        <v/>
      </c>
      <c r="K28" s="266" t="str">
        <f>IF(テーブル!B2="変更申請",IFERROR(VLOOKUP(はじめに入力してください!L20,リスト!A:DR,82,FALSE),""),"")</f>
        <v/>
      </c>
      <c r="L28" s="776"/>
    </row>
    <row r="29" spans="2:16" ht="17.149999999999999" customHeight="1">
      <c r="B29" s="771"/>
      <c r="C29" s="777" t="s">
        <v>154</v>
      </c>
      <c r="D29" s="268">
        <f>額内訳書!K25</f>
        <v>0</v>
      </c>
      <c r="E29" s="309">
        <v>0</v>
      </c>
      <c r="F29" s="268">
        <f>D29-E29</f>
        <v>0</v>
      </c>
      <c r="G29" s="268">
        <f>F29</f>
        <v>0</v>
      </c>
      <c r="H29" s="268">
        <f>額内訳書!G25</f>
        <v>0</v>
      </c>
      <c r="I29" s="268">
        <f>計上!Y20</f>
        <v>0</v>
      </c>
      <c r="J29" s="268">
        <f>I29</f>
        <v>0</v>
      </c>
      <c r="K29" s="268">
        <f>ROUNDDOWN(J29,-3)</f>
        <v>0</v>
      </c>
      <c r="L29" s="776"/>
    </row>
    <row r="30" spans="2:16" ht="17.149999999999999" customHeight="1">
      <c r="B30" s="771"/>
      <c r="C30" s="774"/>
      <c r="D30" s="266" t="str">
        <f>IF(テーブル!B2="変更申請",IFERROR(VLOOKUP(はじめに入力してください!L20,リスト!A:DR,83,FALSE),""),"")</f>
        <v/>
      </c>
      <c r="E30" s="308" t="str">
        <f>IF(テーブル!B2="変更申請",IFERROR(VLOOKUP(はじめに入力してください!L20,リスト!A:DR,84,FALSE),""),"")</f>
        <v/>
      </c>
      <c r="F30" s="266" t="str">
        <f>IF(テーブル!B2="変更申請",IFERROR(VLOOKUP(はじめに入力してください!L20,リスト!A:DR,85,FALSE),""),"")</f>
        <v/>
      </c>
      <c r="G30" s="266" t="str">
        <f>IF(テーブル!B2="変更申請",IFERROR(VLOOKUP(はじめに入力してください!L20,リスト!A:DR,86,FALSE),""),"")</f>
        <v/>
      </c>
      <c r="H30" s="266" t="str">
        <f>IF(テーブル!B2="変更申請",IFERROR(VLOOKUP(はじめに入力してください!L20,リスト!A:DR,87,FALSE),""),"")</f>
        <v/>
      </c>
      <c r="I30" s="266" t="str">
        <f>IF(テーブル!B2="変更申請",IFERROR(VLOOKUP(はじめに入力してください!L20,リスト!A:DR,88,FALSE),""),"")</f>
        <v/>
      </c>
      <c r="J30" s="266" t="str">
        <f>IF(テーブル!B2="変更申請",IFERROR(VLOOKUP(はじめに入力してください!L20,リスト!A:DR,89,FALSE),""),"")</f>
        <v/>
      </c>
      <c r="K30" s="266" t="str">
        <f>IF(テーブル!B2="変更申請",IFERROR(VLOOKUP(はじめに入力してください!L20,リスト!A:DR,90,FALSE),""),"")</f>
        <v/>
      </c>
      <c r="L30" s="776"/>
    </row>
    <row r="31" spans="2:16" ht="17.149999999999999" customHeight="1">
      <c r="B31" s="771"/>
      <c r="C31" s="777" t="s">
        <v>607</v>
      </c>
      <c r="D31" s="268">
        <f>額内訳書!K26</f>
        <v>0</v>
      </c>
      <c r="E31" s="309">
        <v>0</v>
      </c>
      <c r="F31" s="268">
        <f>D31-E31</f>
        <v>0</v>
      </c>
      <c r="G31" s="268">
        <f>F31</f>
        <v>0</v>
      </c>
      <c r="H31" s="268">
        <f>額内訳書!G26</f>
        <v>0</v>
      </c>
      <c r="I31" s="268">
        <f>計上!AA20</f>
        <v>0</v>
      </c>
      <c r="J31" s="268">
        <f>I31</f>
        <v>0</v>
      </c>
      <c r="K31" s="268">
        <f>ROUNDDOWN(J31,-3)</f>
        <v>0</v>
      </c>
      <c r="L31" s="776"/>
    </row>
    <row r="32" spans="2:16" ht="17.149999999999999" customHeight="1">
      <c r="B32" s="771"/>
      <c r="C32" s="774"/>
      <c r="D32" s="266" t="str">
        <f>IF(テーブル!B2="変更申請",IFERROR(VLOOKUP(はじめに入力してください!L20,リスト!A:DR,91,FALSE),""),"")</f>
        <v/>
      </c>
      <c r="E32" s="308" t="str">
        <f>IF(テーブル!B2="変更申請",IFERROR(VLOOKUP(はじめに入力してくださいL20,リスト!A:DR,92,FALSE),""),"")</f>
        <v/>
      </c>
      <c r="F32" s="266" t="str">
        <f>IF(テーブル!B2="変更申請",IFERROR(VLOOKUP(はじめに入力してください!L20,リスト!A:DR,93,FALSE),""),"")</f>
        <v/>
      </c>
      <c r="G32" s="266" t="str">
        <f>IF(テーブル!B2="変更申請",IFERROR(VLOOKUP(はじめに入力してください!L20,リスト!A:DR,94,FALSE),""),"")</f>
        <v/>
      </c>
      <c r="H32" s="266" t="str">
        <f>IF(テーブル!B2="変更申請",IFERROR(VLOOKUP(はじめに入力してください!L20,リスト!A:DR,95,FALSE),""),"")</f>
        <v/>
      </c>
      <c r="I32" s="266" t="str">
        <f>IF(テーブル!B2="変更申請",IFERROR(VLOOKUP(はじめに入力してください!L20,リスト!A:DR,96,FALSE),""),"")</f>
        <v/>
      </c>
      <c r="J32" s="266" t="str">
        <f>IF(テーブル!B2="変更申請",IFERROR(VLOOKUP(はじめに入力してください!L20,リスト!A:DR,97,FALSE),""),"")</f>
        <v/>
      </c>
      <c r="K32" s="266" t="str">
        <f>IF(テーブル!B2="変更申請",IFERROR(VLOOKUP(はじめに入力してください!L20,リスト!A:DR,98,FALSE),""),"")</f>
        <v/>
      </c>
      <c r="L32" s="776"/>
    </row>
    <row r="33" spans="2:16" ht="17.149999999999999" customHeight="1">
      <c r="B33" s="771"/>
      <c r="C33" s="777" t="s">
        <v>588</v>
      </c>
      <c r="D33" s="268">
        <f>額内訳書!K27</f>
        <v>0</v>
      </c>
      <c r="E33" s="309">
        <v>0</v>
      </c>
      <c r="F33" s="268">
        <f>D33-E33</f>
        <v>0</v>
      </c>
      <c r="G33" s="268">
        <f>F33</f>
        <v>0</v>
      </c>
      <c r="H33" s="268">
        <f>額内訳書!G27</f>
        <v>0</v>
      </c>
      <c r="I33" s="268">
        <f>計上!AC20</f>
        <v>0</v>
      </c>
      <c r="J33" s="268">
        <f>I33</f>
        <v>0</v>
      </c>
      <c r="K33" s="268">
        <f>ROUNDDOWN(J33,-3)</f>
        <v>0</v>
      </c>
      <c r="L33" s="776"/>
    </row>
    <row r="34" spans="2:16" ht="17.149999999999999" customHeight="1">
      <c r="B34" s="771"/>
      <c r="C34" s="774"/>
      <c r="D34" s="266" t="str">
        <f>IF(テーブル!B2="変更申請",IFERROR(VLOOKUP(はじめに入力してください!L20,リスト!A:DR,99,FALSE),""),"")</f>
        <v/>
      </c>
      <c r="E34" s="308" t="str">
        <f>IF(テーブル!B2="変更申請",IFERROR(VLOOKUP(はじめに入力してください!L20,リスト!A:DR,100,FALSE),""),"")</f>
        <v/>
      </c>
      <c r="F34" s="266" t="str">
        <f>IF(テーブル!B2="変更申請",IFERROR(VLOOKUP(はじめに入力してください!L20,リスト!A:DR,101,FALSE),""),"")</f>
        <v/>
      </c>
      <c r="G34" s="266" t="str">
        <f>IF(テーブル!B2="変更申請",IFERROR(VLOOKUP(はじめに入力してください!L20,リスト!A:DR,102,FALSE),""),"")</f>
        <v/>
      </c>
      <c r="H34" s="266" t="str">
        <f>IF(テーブル!B2="変更申請",IFERROR(VLOOKUP(はじめに入力してください!L20,リスト!A:DR,103,FALSE),""),"")</f>
        <v/>
      </c>
      <c r="I34" s="266" t="str">
        <f>IF(テーブル!B2="変更申請",IFERROR(VLOOKUP(はじめに入力してください!L20,リスト!A:DR,104,FALSE),""),"")</f>
        <v/>
      </c>
      <c r="J34" s="266" t="str">
        <f>IF(テーブル!B2="変更申請",IFERROR(VLOOKUP(はじめに入力してください!L20,リスト!A:DR,105,FALSE),""),"")</f>
        <v/>
      </c>
      <c r="K34" s="266" t="str">
        <f>IF(テーブル!B2="変更申請",IFERROR(VLOOKUP(はじめに入力してください!L20,リスト!A:DR,106,FALSE),""),"")</f>
        <v/>
      </c>
      <c r="L34" s="776"/>
    </row>
    <row r="35" spans="2:16" ht="17.149999999999999" customHeight="1">
      <c r="B35" s="771"/>
      <c r="C35" s="777" t="s">
        <v>163</v>
      </c>
      <c r="D35" s="268">
        <f>額内訳書!K28</f>
        <v>0</v>
      </c>
      <c r="E35" s="309">
        <v>0</v>
      </c>
      <c r="F35" s="268">
        <f>D35-E35</f>
        <v>0</v>
      </c>
      <c r="G35" s="268">
        <f>F35</f>
        <v>0</v>
      </c>
      <c r="H35" s="268">
        <f>額内訳書!G28</f>
        <v>0</v>
      </c>
      <c r="I35" s="268">
        <f>計上!AE20</f>
        <v>0</v>
      </c>
      <c r="J35" s="268">
        <f>I35</f>
        <v>0</v>
      </c>
      <c r="K35" s="268">
        <f>ROUNDDOWN(J35,-3)</f>
        <v>0</v>
      </c>
      <c r="L35" s="776"/>
      <c r="O35" s="256"/>
      <c r="P35" s="267"/>
    </row>
    <row r="36" spans="2:16" ht="17.149999999999999" customHeight="1">
      <c r="B36" s="771"/>
      <c r="C36" s="774"/>
      <c r="D36" s="266" t="str">
        <f>IF(テーブル!B2="変更申請",IFERROR(VLOOKUP(はじめに入力してください!L20,リスト!A:DR,107,FALSE),""),"")</f>
        <v/>
      </c>
      <c r="E36" s="308" t="str">
        <f>IF(テーブル!B2="変更申請",IFERROR(VLOOKUP(はじめに入力してください!L20,リスト!A:DR,108,FALSE),""),"")</f>
        <v/>
      </c>
      <c r="F36" s="266" t="str">
        <f>IF(テーブル!B2="変更申請",IFERROR(VLOOKUP(はじめに入力してください!L20,リスト!A:DR,109,FALSE),""),"")</f>
        <v/>
      </c>
      <c r="G36" s="266" t="str">
        <f>IF(テーブル!B2="変更申請",IFERROR(VLOOKUP(はじめに入力してください!L20,リスト!A:DR,110,FALSE),""),"")</f>
        <v/>
      </c>
      <c r="H36" s="266" t="str">
        <f>IF(テーブル!B2="変更申請",IFERROR(VLOOKUP(はじめに入力してください!L20,リスト!A:DR,111,FALSE),""),"")</f>
        <v/>
      </c>
      <c r="I36" s="266" t="str">
        <f>IF(テーブル!B2="変更申請",IFERROR(VLOOKUP(はじめに入力してください!L20,リスト!A:DR,112,FALSE),""),"")</f>
        <v/>
      </c>
      <c r="J36" s="266" t="str">
        <f>IF(テーブル!B2="変更申請",IFERROR(VLOOKUP(はじめに入力してください!L20,リスト!A:DR,113,FALSE),""),"")</f>
        <v/>
      </c>
      <c r="K36" s="266" t="str">
        <f>IF(テーブル!B2="変更申請",IFERROR(VLOOKUP(はじめに入力してください!L20,リスト!A:DR,114,FALSE),""),"")</f>
        <v/>
      </c>
      <c r="L36" s="776"/>
    </row>
    <row r="37" spans="2:16" ht="17.149999999999999" customHeight="1">
      <c r="B37" s="771"/>
      <c r="C37" s="777" t="s">
        <v>166</v>
      </c>
      <c r="D37" s="268">
        <f>額内訳書!K29</f>
        <v>0</v>
      </c>
      <c r="E37" s="309">
        <v>0</v>
      </c>
      <c r="F37" s="268">
        <f>D37-E37</f>
        <v>0</v>
      </c>
      <c r="G37" s="268">
        <f>F37</f>
        <v>0</v>
      </c>
      <c r="H37" s="268">
        <f>額内訳書!G29</f>
        <v>0</v>
      </c>
      <c r="I37" s="268">
        <f>計上!AG20</f>
        <v>0</v>
      </c>
      <c r="J37" s="268">
        <f>I37</f>
        <v>0</v>
      </c>
      <c r="K37" s="268">
        <f>ROUNDDOWN(J37,-3)</f>
        <v>0</v>
      </c>
      <c r="L37" s="776"/>
    </row>
    <row r="38" spans="2:16" ht="17.149999999999999" customHeight="1" thickBot="1">
      <c r="B38" s="772"/>
      <c r="C38" s="774"/>
      <c r="D38" s="266" t="str">
        <f>IF(テーブル!B2="変更申請",IFERROR(VLOOKUP(はじめに入力してください!L20,リスト!A:DR,115,FALSE),""),"")</f>
        <v/>
      </c>
      <c r="E38" s="308" t="str">
        <f>IF(テーブル!B2="変更申請",IFERROR(VLOOKUP(はじめに入力してください!L20,リスト!A:DR,116,FALSE),""),"")</f>
        <v/>
      </c>
      <c r="F38" s="266" t="str">
        <f>IF(テーブル!B2="変更申請",IFERROR(VLOOKUP(はじめに入力してください!L20,リスト!A:DR,117,FALSE),""),"")</f>
        <v/>
      </c>
      <c r="G38" s="266" t="str">
        <f>IF(テーブル!B2="変更申請",IFERROR(VLOOKUP(はじめに入力してください!L20,リスト!A:DR,118,FALSE),""),"")</f>
        <v/>
      </c>
      <c r="H38" s="266" t="str">
        <f>IF(テーブル!B2="変更申請",IFERROR(VLOOKUP(はじめに入力してください!L20,リスト!A:DR,119,FALSE),""),"")</f>
        <v/>
      </c>
      <c r="I38" s="266" t="str">
        <f>IF(テーブル!B2="変更申請",IFERROR(VLOOKUP(はじめに入力してください!L20,リスト!A:DR,120,FALSE),""),"")</f>
        <v/>
      </c>
      <c r="J38" s="266" t="str">
        <f>IF(テーブル!B2="変更申請",IFERROR(VLOOKUP(はじめに入力してください!L20,リスト!A:DR,121,FALSE),""),"")</f>
        <v/>
      </c>
      <c r="K38" s="266" t="str">
        <f>IF(テーブル!B2="変更申請",IFERROR(VLOOKUP(はじめに入力してください!L20,リスト!A:DR,122,FALSE),""),"")</f>
        <v/>
      </c>
      <c r="L38" s="776"/>
    </row>
    <row r="39" spans="2:16" ht="17.149999999999999" customHeight="1" thickTop="1">
      <c r="B39" s="269" t="s">
        <v>97</v>
      </c>
      <c r="C39" s="270"/>
      <c r="D39" s="271">
        <f>SUM(D25,D27,D29,D31,D33,D35,D37)</f>
        <v>0</v>
      </c>
      <c r="E39" s="271">
        <f t="shared" ref="E39:J39" si="1">SUM(E25,E27,E29,E31,E33,E35,E37)</f>
        <v>0</v>
      </c>
      <c r="F39" s="271">
        <f>SUM(F25,F27,F29,F31,F33,F35,F37)</f>
        <v>0</v>
      </c>
      <c r="G39" s="271">
        <f t="shared" si="1"/>
        <v>0</v>
      </c>
      <c r="H39" s="271">
        <f t="shared" si="1"/>
        <v>0</v>
      </c>
      <c r="I39" s="271">
        <f t="shared" si="1"/>
        <v>0</v>
      </c>
      <c r="J39" s="271">
        <f t="shared" si="1"/>
        <v>0</v>
      </c>
      <c r="K39" s="271">
        <f>SUM(K25,K27,K29,K31,K33,K35,K37)</f>
        <v>0</v>
      </c>
      <c r="L39" s="272"/>
      <c r="P39" s="252"/>
    </row>
    <row r="40" spans="2:16" ht="17.149999999999999" customHeight="1" thickBot="1">
      <c r="B40" s="273"/>
      <c r="C40" s="274"/>
      <c r="D40" s="275" t="str">
        <f>IF(テーブル!B2="変更申請",SUM(D26,D28,D30,D32,D34,D36,D38),"")</f>
        <v/>
      </c>
      <c r="E40" s="275" t="str">
        <f>IF(テーブル!B2="変更申請",SUM(E26,E28,E30,E32,E34,E36,E38),"")</f>
        <v/>
      </c>
      <c r="F40" s="275" t="str">
        <f>IF(テーブル!B2="変更申請",SUM(F26,F28,F30,F32,F34,F36,F38),"")</f>
        <v/>
      </c>
      <c r="G40" s="275" t="str">
        <f>IF(テーブル!B2="変更申請",SUM(G26,G28,G30,G32,G34,G36,G38),"")</f>
        <v/>
      </c>
      <c r="H40" s="275" t="str">
        <f>IF(テーブル!B2="変更申請",SUM(H26,H28,H30,H32,H34,H36,H38),"")</f>
        <v/>
      </c>
      <c r="I40" s="275" t="str">
        <f>IF(テーブル!B2="変更申請",SUM(I26,I28,I30,I32,I34,I36,I38),"")</f>
        <v/>
      </c>
      <c r="J40" s="275" t="str">
        <f>IF(テーブル!B2="変更申請",SUM(J26,J28,J30,J32,J34,J36,J38),"")</f>
        <v/>
      </c>
      <c r="K40" s="275" t="str">
        <f>IF(テーブル!B2="変更申請",SUM(K26,K28,K30,K32,K34,K36,K38),"")</f>
        <v/>
      </c>
      <c r="L40" s="276"/>
      <c r="P40" s="252"/>
    </row>
    <row r="41" spans="2:16" ht="17.149999999999999" customHeight="1">
      <c r="B41" s="277" t="s">
        <v>608</v>
      </c>
      <c r="C41" s="278"/>
      <c r="D41" s="279">
        <f>SUM(D39,D23)</f>
        <v>0</v>
      </c>
      <c r="E41" s="279">
        <f t="shared" ref="E41:J41" si="2">SUM(E39,E23)</f>
        <v>0</v>
      </c>
      <c r="F41" s="279">
        <f t="shared" si="2"/>
        <v>0</v>
      </c>
      <c r="G41" s="279">
        <f t="shared" si="2"/>
        <v>0</v>
      </c>
      <c r="H41" s="279">
        <f t="shared" si="2"/>
        <v>0</v>
      </c>
      <c r="I41" s="279">
        <f t="shared" si="2"/>
        <v>0</v>
      </c>
      <c r="J41" s="279">
        <f t="shared" si="2"/>
        <v>0</v>
      </c>
      <c r="K41" s="279">
        <f>SUM(K39,K23)</f>
        <v>0</v>
      </c>
      <c r="L41" s="280"/>
      <c r="P41" s="252"/>
    </row>
    <row r="42" spans="2:16" ht="17.149999999999999" customHeight="1" thickBot="1">
      <c r="B42" s="273"/>
      <c r="C42" s="274"/>
      <c r="D42" s="275" t="str">
        <f>IF(テーブル!B2="変更申請",SUM(D24,D40),"")</f>
        <v/>
      </c>
      <c r="E42" s="275" t="str">
        <f>IF(テーブル!B2="変更申請",SUM(E24,E40),"")</f>
        <v/>
      </c>
      <c r="F42" s="275" t="str">
        <f>IF(テーブル!B2="変更申請",SUM(F24,F40),"")</f>
        <v/>
      </c>
      <c r="G42" s="275" t="str">
        <f>IF(テーブル!B2="変更申請",SUM(G24,G40),"")</f>
        <v/>
      </c>
      <c r="H42" s="275" t="str">
        <f>IF(テーブル!B2="変更申請",SUM(H24,H40),"")</f>
        <v/>
      </c>
      <c r="I42" s="275" t="str">
        <f>IF(テーブル!B2="変更申請",SUM(I24,I40),"")</f>
        <v/>
      </c>
      <c r="J42" s="275" t="str">
        <f>IF(テーブル!B2="変更申請",SUM(J24,J40),"")</f>
        <v/>
      </c>
      <c r="K42" s="275" t="str">
        <f>IF(テーブル!B2="変更申請",SUM(K24,K40),"")</f>
        <v/>
      </c>
      <c r="L42" s="276"/>
      <c r="P42" s="252"/>
    </row>
    <row r="43" spans="2:16" ht="21.75" customHeight="1">
      <c r="B43" s="252" t="s">
        <v>609</v>
      </c>
      <c r="P43" s="252"/>
    </row>
    <row r="44" spans="2:16" ht="20.149999999999999" customHeight="1">
      <c r="P44" s="252"/>
    </row>
    <row r="45" spans="2:16" ht="20.149999999999999" customHeight="1">
      <c r="P45" s="252"/>
    </row>
    <row r="46" spans="2:16" ht="20.149999999999999" customHeight="1">
      <c r="P46" s="252"/>
    </row>
  </sheetData>
  <sheetProtection algorithmName="SHA-512" hashValue="GnRcGc/Ac0/CwVSUlGfXg4wq0GRtS/B4EFrUs4Oy+N5YdIPd+RKwJxuwjwhU3Z4yXmh0TjT/gcko6/zgixAXVw==" saltValue="VPsrflt+zU8MajPpWcOwZA==" spinCount="100000" sheet="1" objects="1" scenarios="1"/>
  <mergeCells count="24">
    <mergeCell ref="K1:M1"/>
    <mergeCell ref="B2:L2"/>
    <mergeCell ref="J3:K3"/>
    <mergeCell ref="J4:K4"/>
    <mergeCell ref="B7:B20"/>
    <mergeCell ref="C7:C8"/>
    <mergeCell ref="L7:L22"/>
    <mergeCell ref="C9:C10"/>
    <mergeCell ref="C11:C12"/>
    <mergeCell ref="C13:C14"/>
    <mergeCell ref="C15:C16"/>
    <mergeCell ref="C17:C18"/>
    <mergeCell ref="C19:C20"/>
    <mergeCell ref="B21:B22"/>
    <mergeCell ref="C21:C22"/>
    <mergeCell ref="B25:B38"/>
    <mergeCell ref="C25:C26"/>
    <mergeCell ref="L25:L38"/>
    <mergeCell ref="C27:C28"/>
    <mergeCell ref="C29:C30"/>
    <mergeCell ref="C31:C32"/>
    <mergeCell ref="C33:C34"/>
    <mergeCell ref="C35:C36"/>
    <mergeCell ref="C37:C38"/>
  </mergeCells>
  <phoneticPr fontId="5"/>
  <dataValidations xWindow="1012" yWindow="547" count="1">
    <dataValidation allowBlank="1" showInputMessage="1" showErrorMessage="1" promptTitle="「寄付金その他の収入予定額（B）」欄について" prompt="本補助金で申請した「総事業費（A）」に対して、本補助金以外の寄付金やその他の収入を充てている場合はその金額を、ない場合は「0」円を入力してください。 _x000a_" sqref="E7:E22 E25:E38" xr:uid="{00000000-0002-0000-0A00-000000000000}"/>
  </dataValidations>
  <printOptions horizontalCentered="1"/>
  <pageMargins left="0.59055118110236227" right="0.39370078740157483" top="0.98425196850393704" bottom="0.39370078740157483" header="0.31496062992125984" footer="0.31496062992125984"/>
  <pageSetup paperSize="9" scale="60" fitToWidth="0" fitToHeight="0"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B1:AZ34"/>
  <sheetViews>
    <sheetView showGridLines="0" view="pageBreakPreview" zoomScale="40" zoomScaleNormal="100" zoomScaleSheetLayoutView="40" workbookViewId="0">
      <pane xSplit="3" ySplit="6" topLeftCell="D7" activePane="bottomRight" state="frozen"/>
      <selection activeCell="B6" sqref="B6:B17"/>
      <selection pane="topRight" activeCell="B6" sqref="B6:B17"/>
      <selection pane="bottomLeft" activeCell="B6" sqref="B6:B17"/>
      <selection pane="bottomRight" activeCell="J10" sqref="G10:J14"/>
    </sheetView>
  </sheetViews>
  <sheetFormatPr defaultColWidth="9" defaultRowHeight="20"/>
  <cols>
    <col min="1" max="1" width="2.58203125" style="127" customWidth="1"/>
    <col min="2" max="3" width="30.58203125" style="127" customWidth="1"/>
    <col min="4" max="4" width="20.58203125" style="127" customWidth="1"/>
    <col min="5" max="5" width="10.58203125" style="127" customWidth="1"/>
    <col min="6" max="8" width="20.58203125" style="127" customWidth="1"/>
    <col min="9" max="9" width="10.58203125" style="127" customWidth="1"/>
    <col min="10" max="11" width="20.58203125" style="127" customWidth="1"/>
    <col min="12" max="17" width="5.58203125" style="127" customWidth="1"/>
    <col min="18" max="18" width="5.58203125" style="128" customWidth="1"/>
    <col min="19" max="19" width="2.58203125" style="127" customWidth="1"/>
    <col min="20" max="27" width="8.58203125" style="127" customWidth="1"/>
    <col min="28" max="31" width="9" style="127" customWidth="1"/>
    <col min="32" max="33" width="10.58203125" style="413" customWidth="1"/>
    <col min="34" max="35" width="9" style="127" customWidth="1"/>
    <col min="36" max="36" width="10.58203125" style="132" customWidth="1"/>
    <col min="37" max="42" width="10.58203125" style="127" customWidth="1"/>
    <col min="43" max="43" width="9" style="128"/>
    <col min="44" max="44" width="11.58203125" style="127" bestFit="1" customWidth="1"/>
    <col min="45" max="45" width="9" style="127"/>
    <col min="46" max="46" width="90.58203125" style="131" customWidth="1"/>
    <col min="47" max="47" width="9" style="132"/>
    <col min="48" max="16384" width="9" style="127"/>
  </cols>
  <sheetData>
    <row r="1" spans="2:52" ht="25" customHeight="1">
      <c r="B1" s="126" t="str">
        <f xml:space="preserve">
IF(OR(テーブル!B2="事前協議",テーブル!B2="交付申請",テーブル!B2="交付申請（２次以降）"),"様式１－２",
IF(テーブル!B2="変更申請","様式１－２",
IF(テーブル!B2="実績報告","様式3－２")))</f>
        <v>様式１－２</v>
      </c>
      <c r="D1" s="128"/>
      <c r="O1" s="824" t="str">
        <f>"《２次募集》"&amp;はじめに入力してください!AE20</f>
        <v>《２次募集》</v>
      </c>
      <c r="P1" s="825"/>
      <c r="Q1" s="825"/>
      <c r="R1" s="825"/>
      <c r="AJ1" s="409"/>
      <c r="AK1" s="409"/>
      <c r="AL1" s="409"/>
      <c r="AM1" s="409"/>
      <c r="AN1" s="129"/>
      <c r="AO1" s="130"/>
    </row>
    <row r="2" spans="2:52" ht="25" customHeight="1">
      <c r="B2" s="814" t="str">
        <f xml:space="preserve">
IF(OR(テーブル!B2="事前協議",テーブル!B2="交付申請",テーブル!B2="交付申請（２次以降）"),"設備整備基準算出内訳及び対象経費支出予定額内訳",
IF(テーブル!B2="変更申請","設備整備基準算出内訳及び対象経費支出予定額内訳",
IF(テーブル!B2="実績報告","設備整備基準算出内訳及び対象経費実支出額内訳")))</f>
        <v>設備整備基準算出内訳及び対象経費支出予定額内訳</v>
      </c>
      <c r="C2" s="815"/>
      <c r="D2" s="815"/>
      <c r="E2" s="815"/>
      <c r="F2" s="815"/>
      <c r="G2" s="815"/>
      <c r="H2" s="815"/>
      <c r="I2" s="815"/>
      <c r="J2" s="815"/>
      <c r="K2" s="815"/>
      <c r="L2" s="815"/>
      <c r="M2" s="815"/>
      <c r="N2" s="815"/>
      <c r="O2" s="815"/>
      <c r="P2" s="815"/>
      <c r="Q2" s="815"/>
      <c r="R2" s="815"/>
      <c r="AJ2" s="133"/>
      <c r="AK2" s="134"/>
      <c r="AL2" s="134"/>
      <c r="AM2" s="134"/>
      <c r="AN2" s="134"/>
      <c r="AO2" s="134"/>
      <c r="AQ2" s="816" t="s">
        <v>125</v>
      </c>
      <c r="AR2" s="817"/>
      <c r="AS2" s="820" t="str">
        <f>IF(SUM(COUNTIF(AS7:AS21,"×"),COUNTIF(AS23:AS29,"×"))&gt;=1,"×",
IF(AND(SUM(COUNTIF(AS7:AS21,"×"),COUNTIF(AS23:AS29,"×"))=0,SUM(COUNTIF(AS7:AS21,"◎"),COUNTIF(AS23:AS29,"◎"))&gt;=1),"○",
IF(SUM(COUNTIF(AS7:AS21,"○"),COUNTIF(AS23:AS29,"○"))=22,"×")))</f>
        <v>×</v>
      </c>
      <c r="AT2" s="822" t="str">
        <f>IF(AS2="×","【要修正】全ての項目が未記入又は記載不十分の箇所があるため赤色表示の行を確認してください。",
IF(AS2="○","適切に入力がされました。"))</f>
        <v>【要修正】全ての項目が未記入又は記載不十分の箇所があるため赤色表示の行を確認してください。</v>
      </c>
      <c r="AV2" s="127" t="str">
        <f>AV7&amp;AV8&amp;AV9&amp;AV10&amp;AV11&amp;AV12&amp;AV13&amp;AV14&amp;AV15&amp;AV16&amp;AV17&amp;AV18&amp;AV19&amp;AV20&amp;AV21&amp;AV23&amp;AV24&amp;AV25&amp;AV26&amp;AV27&amp;AV28&amp;AV29</f>
        <v/>
      </c>
    </row>
    <row r="3" spans="2:52" ht="10" customHeight="1">
      <c r="C3" s="130"/>
      <c r="D3" s="130"/>
      <c r="E3" s="130"/>
      <c r="F3" s="130"/>
      <c r="G3" s="130"/>
      <c r="H3" s="130"/>
      <c r="I3" s="130"/>
      <c r="J3" s="130"/>
      <c r="K3" s="130"/>
      <c r="L3" s="130"/>
      <c r="M3" s="130"/>
      <c r="N3" s="130"/>
      <c r="O3" s="130"/>
      <c r="P3" s="130"/>
      <c r="Q3" s="130"/>
      <c r="R3" s="129"/>
      <c r="T3" s="128" t="str">
        <f>AS2</f>
        <v>×</v>
      </c>
      <c r="AJ3" s="133"/>
      <c r="AK3" s="134"/>
      <c r="AL3" s="134"/>
      <c r="AM3" s="134"/>
      <c r="AN3" s="134"/>
      <c r="AO3" s="134"/>
      <c r="AQ3" s="818"/>
      <c r="AR3" s="819"/>
      <c r="AS3" s="821"/>
      <c r="AT3" s="823"/>
    </row>
    <row r="4" spans="2:52" ht="36" customHeight="1">
      <c r="B4" s="807" t="s">
        <v>552</v>
      </c>
      <c r="C4" s="807" t="s">
        <v>553</v>
      </c>
      <c r="D4" s="801" t="s">
        <v>554</v>
      </c>
      <c r="E4" s="801" t="s">
        <v>555</v>
      </c>
      <c r="F4" s="801"/>
      <c r="G4" s="801"/>
      <c r="H4" s="801" t="str">
        <f xml:space="preserve">
IF(OR(テーブル!B2="事前協議",テーブル!B2="交付申請",テーブル!B2="交付申請（２次以降）"),"対象経費支出予定額",
IF(テーブル!B2="変更申請","対象経費支出予定額",
IF(テーブル!B2="実績報告","対象経費実支出額")))</f>
        <v>対象経費支出予定額</v>
      </c>
      <c r="I4" s="801"/>
      <c r="J4" s="801"/>
      <c r="K4" s="801"/>
      <c r="L4" s="812" t="str">
        <f xml:space="preserve">
IF(OR(テーブル!B2="事前協議",テーブル!B2="交付申請",テーブル!B2="交付申請（２次以降）"),"事業完了予定日"&amp;CHAR(10)&amp;"（複数の場合は最終納品の予定日）",
IF(テーブル!B2="変更申請","事業完了予定日"&amp;CHAR(10)&amp;"（複数の場合は最終納品の予定日）",
IF(テーブル!B2="実績報告","事業完了日"&amp;CHAR(10)&amp;"（複数の場合は最終納品日）")))</f>
        <v>事業完了予定日
（複数の場合は最終納品の予定日）</v>
      </c>
      <c r="M4" s="813"/>
      <c r="N4" s="813"/>
      <c r="O4" s="813"/>
      <c r="P4" s="803"/>
      <c r="Q4" s="803"/>
      <c r="R4" s="804"/>
      <c r="AF4" s="805"/>
      <c r="AG4" s="805"/>
      <c r="AJ4" s="133"/>
      <c r="AK4" s="134"/>
      <c r="AL4" s="134"/>
      <c r="AM4" s="134"/>
      <c r="AN4" s="134"/>
      <c r="AO4" s="134"/>
      <c r="AQ4" s="807" t="s">
        <v>556</v>
      </c>
      <c r="AR4" s="801" t="s">
        <v>557</v>
      </c>
      <c r="AS4" s="801" t="s">
        <v>558</v>
      </c>
      <c r="AT4" s="801" t="s">
        <v>128</v>
      </c>
    </row>
    <row r="5" spans="2:52" ht="36" customHeight="1" thickBot="1">
      <c r="B5" s="807"/>
      <c r="C5" s="807"/>
      <c r="D5" s="801"/>
      <c r="E5" s="408" t="s">
        <v>559</v>
      </c>
      <c r="F5" s="408" t="s">
        <v>560</v>
      </c>
      <c r="G5" s="408" t="s">
        <v>561</v>
      </c>
      <c r="H5" s="410" t="s">
        <v>562</v>
      </c>
      <c r="I5" s="408" t="s">
        <v>563</v>
      </c>
      <c r="J5" s="135" t="s">
        <v>564</v>
      </c>
      <c r="K5" s="408" t="s">
        <v>561</v>
      </c>
      <c r="L5" s="802" t="s">
        <v>101</v>
      </c>
      <c r="M5" s="803"/>
      <c r="N5" s="804"/>
      <c r="O5" s="802" t="s">
        <v>567</v>
      </c>
      <c r="P5" s="804"/>
      <c r="Q5" s="802" t="s">
        <v>569</v>
      </c>
      <c r="R5" s="804"/>
      <c r="AF5" s="806"/>
      <c r="AG5" s="806"/>
      <c r="AJ5" s="136"/>
      <c r="AK5" s="137"/>
      <c r="AL5" s="137"/>
      <c r="AM5" s="137"/>
      <c r="AQ5" s="801"/>
      <c r="AR5" s="801"/>
      <c r="AS5" s="801"/>
      <c r="AT5" s="801"/>
    </row>
    <row r="6" spans="2:52" ht="36" hidden="1" customHeight="1">
      <c r="B6" s="412"/>
      <c r="C6" s="412"/>
      <c r="D6" s="138"/>
      <c r="E6" s="138"/>
      <c r="F6" s="139" t="s">
        <v>570</v>
      </c>
      <c r="G6" s="139" t="s">
        <v>570</v>
      </c>
      <c r="H6" s="140"/>
      <c r="I6" s="139"/>
      <c r="J6" s="139" t="s">
        <v>570</v>
      </c>
      <c r="K6" s="139" t="s">
        <v>570</v>
      </c>
      <c r="L6" s="139"/>
      <c r="M6" s="139"/>
      <c r="N6" s="139"/>
      <c r="O6" s="139"/>
      <c r="P6" s="139"/>
      <c r="Q6" s="139"/>
      <c r="R6" s="138"/>
      <c r="AQ6" s="141"/>
      <c r="AR6" s="142"/>
      <c r="AS6" s="142"/>
      <c r="AT6" s="143"/>
    </row>
    <row r="7" spans="2:52" ht="35.15" customHeight="1">
      <c r="B7" s="798" t="s">
        <v>571</v>
      </c>
      <c r="C7" s="144" t="s">
        <v>133</v>
      </c>
      <c r="D7" s="145" t="str">
        <f>IF(K7&gt;0,"（別添明細のとおり）","")</f>
        <v/>
      </c>
      <c r="E7" s="146">
        <f>IF(K7=0,0,COUNTIF(初度設備!$D$30:$D$74,"設備"))</f>
        <v>0</v>
      </c>
      <c r="F7" s="147">
        <f>IF(E7=0,0,133000)</f>
        <v>0</v>
      </c>
      <c r="G7" s="147">
        <f>E7*F7</f>
        <v>0</v>
      </c>
      <c r="H7" s="148" t="str">
        <f>IF(D7="","",D7)</f>
        <v/>
      </c>
      <c r="I7" s="146">
        <f t="shared" ref="I7:I17" si="0">IF(E7&lt;&gt;0,E7,0)</f>
        <v>0</v>
      </c>
      <c r="J7" s="149">
        <f>IFERROR(K7/I7,0)</f>
        <v>0</v>
      </c>
      <c r="K7" s="147">
        <f>初度設備!J3</f>
        <v>0</v>
      </c>
      <c r="L7" s="150" t="s">
        <v>100</v>
      </c>
      <c r="M7" s="151"/>
      <c r="N7" s="152" t="s">
        <v>89</v>
      </c>
      <c r="O7" s="151"/>
      <c r="P7" s="152" t="s">
        <v>90</v>
      </c>
      <c r="Q7" s="151"/>
      <c r="R7" s="153" t="s">
        <v>91</v>
      </c>
      <c r="AA7" s="128" t="b">
        <f>IF(AT7="申請しない場合は黄色セル入力不要です。","○",IF(AT7="【要修正】型番、数量、単価（税込）の一部欄のみ入力されています。"&amp;CHAR(10)&amp;"申請する場合は黄色セルを全て入力してください。","×",IF(AT7="必要情報が全て入力されました。","○")))</f>
        <v>0</v>
      </c>
      <c r="AF7" s="154" t="str">
        <f t="shared" ref="AF7:AF15" si="1">IF(M7="","",SUM(2022,M7-4))</f>
        <v/>
      </c>
      <c r="AG7" s="155" t="str">
        <f>IFERROR(DATE(AF7,O7,Q7),"")</f>
        <v/>
      </c>
      <c r="AJ7" s="156" t="str">
        <f>IF(AQ7="×","空気清浄機の入力項目/","")</f>
        <v/>
      </c>
      <c r="AK7" s="157"/>
      <c r="AP7" s="128" t="s">
        <v>517</v>
      </c>
      <c r="AQ7" s="141" t="str">
        <f>IF(COUNTA(M7,O7,Q7)=0,"○",
IF(AND(COUNTA(M7,O7,Q7)&lt;3,COUNTA(M7,O7,Q7)&gt;=1),"×",
IF(COUNTA(M7,O7,Q7)=3,"◎")))</f>
        <v>○</v>
      </c>
      <c r="AR7" s="141" t="str">
        <f>初度設備!Z3</f>
        <v>○</v>
      </c>
      <c r="AS7" s="141" t="str">
        <f xml:space="preserve">
IF(AND(AQ7="×",AR7="×"),"×",
IF(AND(AQ7="×",AR7="○"),"×",
IF(AND(AQ7="×",AR7="◎"),"×",
IF(AND(AQ7="○",AR7="×"),"×",
IF(AND(AQ7="○",AR7="○"),"○",
IF(AND(AQ7="○",AR7="◎"),"×",
IF(AND(AQ7="◎",AR7="×"),"×",
IF(AND(AQ7="◎",AR7="○"),"×",
IF(AND(AQ7="◎",AR7="◎"),"◎")))))))))</f>
        <v>○</v>
      </c>
      <c r="AT7" s="158" t="str">
        <f xml:space="preserve">
IF(AND(AQ7="×",AR7="×"),"【要修正】本シート及び「明細」シートがいずれも入力不十分です。",
IF(AND(AQ7="×",AR7="○"),"【要修正】本シートが入力不十分、「明細」シートが未入力です。",
IF(AND(AQ7="×",AR7="◎"),"【要修正】本シートが入力不十分です。",
IF(AND(AQ7="○",AR7="×"),"【要修正】本シートが未入力、「明細」シートが入力不十分です。",
IF(AND(AQ7="○",AR7="○"),"申請しない場合は入力不要です。",
IF(AND(AQ7="○",AR7="◎"),"【要修正】本シートが未入力です。",
IF(AND(AQ7="◎",AR7="×"),"【要修正】「明細」シートが入力不十分です。",
IF(AND(AQ7="◎",AR7="○"),"【要修正】「明細」シートが未入力です。",
IF(AND(AQ7="◎",AR7="◎"),"適切に入力がされました。")))))))))</f>
        <v>申請しない場合は入力不要です。</v>
      </c>
      <c r="AU7" s="132" t="str">
        <f>"【"&amp;C7&amp;"】"</f>
        <v>【初度設備】</v>
      </c>
      <c r="AV7" s="127" t="str">
        <f xml:space="preserve">
IF(AND(AQ7="×",AR7="×"),AU7&amp;"本シート及び「明細」シートがいずれも入力不十分です。",
IF(AND(AQ7="×",AR7="○"),AU7&amp;"本シートが入力不十分、「明細」シートが未入力です。",
IF(AND(AQ7="×",AR7="◎"),AU7&amp;"本シートが入力不十分です。",
IF(AND(AQ7="○",AR7="×"),AU7&amp;"本シートが未入力、「明細」シートが入力不十分です。",
IF(AND(AQ7="○",AR7="○"),"",
IF(AND(AQ7="○",AR7="◎"),AU7&amp;"本シートが未入力です。",
IF(AND(AQ7="◎",AR7="×"),AU7&amp;"「明細」シートがいずれも入力不十分です。",
IF(AND(AQ7="◎",AR7="○"),AU7&amp;"【要修正】「明細」シートが未入力です。",
IF(AND(AQ7="◎",AR7="◎"),AU7&amp;"適切に入力がされました。")))))))))</f>
        <v/>
      </c>
      <c r="AW7" s="159" t="str">
        <f>IFERROR(DATE(AX7,AY7,AZ7),"")</f>
        <v/>
      </c>
      <c r="AX7" s="160" t="str">
        <f>IF(M7="","",SUM(2022,M7-4))</f>
        <v/>
      </c>
      <c r="AY7" s="161">
        <f>O7</f>
        <v>0</v>
      </c>
      <c r="AZ7" s="161">
        <f>Q7</f>
        <v>0</v>
      </c>
    </row>
    <row r="8" spans="2:52" ht="35.15" customHeight="1">
      <c r="B8" s="799"/>
      <c r="C8" s="411" t="s">
        <v>138</v>
      </c>
      <c r="D8" s="162" t="str">
        <f>IF(K8&gt;0,"（別添明細のとおり）","")</f>
        <v/>
      </c>
      <c r="E8" s="163">
        <f>COUNTIF(人工呼吸器!$D$30:$D$74,"設備")</f>
        <v>0</v>
      </c>
      <c r="F8" s="164">
        <f>IFERROR(K8/E8,0)</f>
        <v>0</v>
      </c>
      <c r="G8" s="164">
        <f>IFERROR(E8*F8,0)</f>
        <v>0</v>
      </c>
      <c r="H8" s="165" t="str">
        <f t="shared" ref="H8:H17" si="2">IF(D8="","",D8)</f>
        <v/>
      </c>
      <c r="I8" s="163">
        <f t="shared" si="0"/>
        <v>0</v>
      </c>
      <c r="J8" s="166">
        <f>IFERROR(K8/I8,0)</f>
        <v>0</v>
      </c>
      <c r="K8" s="164">
        <f>人工呼吸器!J3</f>
        <v>0</v>
      </c>
      <c r="L8" s="167" t="s">
        <v>574</v>
      </c>
      <c r="M8" s="168"/>
      <c r="N8" s="169" t="s">
        <v>89</v>
      </c>
      <c r="O8" s="168"/>
      <c r="P8" s="169" t="s">
        <v>90</v>
      </c>
      <c r="Q8" s="168"/>
      <c r="R8" s="170" t="s">
        <v>91</v>
      </c>
      <c r="AA8" s="128" t="b">
        <f>IF(AT8="申請しない場合は黄色セル入力不要です。","○",IF(AT8="【要修正】型番、数量、単価（税込）の一部欄のみ入力されています。"&amp;CHAR(10)&amp;"申請する場合は黄色セルを全て入力してください。","×",IF(AT8="必要情報が全て入力されました。","○")))</f>
        <v>0</v>
      </c>
      <c r="AF8" s="154" t="str">
        <f t="shared" si="1"/>
        <v/>
      </c>
      <c r="AG8" s="155" t="str">
        <f t="shared" ref="AG8:AG18" si="3">IFERROR(DATE(AF8,O8,Q8),"")</f>
        <v/>
      </c>
      <c r="AJ8" s="156" t="str">
        <f>IF(AQ8="×","パーテーション（１行目）の入力項目/","")</f>
        <v/>
      </c>
      <c r="AK8" s="157"/>
      <c r="AP8" s="128" t="s">
        <v>517</v>
      </c>
      <c r="AQ8" s="141" t="str">
        <f>IF(COUNTA(M8,O8,Q8)=0,"○",
IF(AND(COUNTA(M8,O8,Q8)&lt;3,COUNTA(M8,O8,Q8)&gt;=1),"×",
IF(COUNTA(M8,O8,Q8)=3,"◎")))</f>
        <v>○</v>
      </c>
      <c r="AR8" s="141" t="str">
        <f>人工呼吸器!Z3</f>
        <v>○</v>
      </c>
      <c r="AS8" s="141" t="str">
        <f xml:space="preserve">
IF(AND(AQ8="×",AR8="×"),"×",
IF(AND(AQ8="×",AR8="○"),"×",
IF(AND(AQ8="×",AR8="◎"),"×",
IF(AND(AQ8="○",AR8="×"),"×",
IF(AND(AQ8="○",AR8="○"),"○",
IF(AND(AQ8="○",AR8="◎"),"×",
IF(AND(AQ8="◎",AR8="×"),"×",
IF(AND(AQ8="◎",AR8="○"),"×",
IF(AND(AQ8="◎",AR8="◎"),"◎")))))))))</f>
        <v>○</v>
      </c>
      <c r="AT8" s="158" t="str">
        <f t="shared" ref="AT8:AT21" si="4" xml:space="preserve">
IF(AND(AQ8="×",AR8="×"),"【要修正】本シート及び「明細」シートがいずれも入力不十分です。",
IF(AND(AQ8="×",AR8="○"),"【要修正】本シートが入力不十分、「明細」シートが未入力です。",
IF(AND(AQ8="×",AR8="◎"),"【要修正】本シートが入力不十分です。",
IF(AND(AQ8="○",AR8="×"),"【要修正】本シートが未入力、「明細」シートが入力不十分です。",
IF(AND(AQ8="○",AR8="○"),"申請しない場合は入力不要です。",
IF(AND(AQ8="○",AR8="◎"),"【要修正】本シートが未入力です。",
IF(AND(AQ8="◎",AR8="×"),"【要修正】「明細」シートが入力不十分です。",
IF(AND(AQ8="◎",AR8="○"),"【要修正】「明細」シートが未入力です。",
IF(AND(AQ8="◎",AR8="◎"),"適切に入力がされました。")))))))))</f>
        <v>申請しない場合は入力不要です。</v>
      </c>
      <c r="AU8" s="132" t="str">
        <f>"【"&amp;C8&amp;"】"</f>
        <v>【人工呼吸器】</v>
      </c>
      <c r="AV8" s="127" t="str">
        <f xml:space="preserve">
IF(AND(AQ8="×",AR8="×"),AU8&amp;"本シート及び「明細」シートがいずれも入力不十分です。",
IF(AND(AQ8="×",AR8="○"),AU8&amp;"本シートが入力不十分、「明細」シートが未入力です。",
IF(AND(AQ8="×",AR8="◎"),AU8&amp;"本シートが入力不十分です。",
IF(AND(AQ8="○",AR8="×"),AU8&amp;"本シートが未入力、「明細」シートが入力不十分です。",
IF(AND(AQ8="○",AR8="○"),"",
IF(AND(AQ8="○",AR8="◎"),AU8&amp;"本シートが未入力です。",
IF(AND(AQ8="◎",AR8="×"),AU8&amp;"「明細」シートがいずれも入力不十分です。",
IF(AND(AQ8="◎",AR8="○"),AU8&amp;"【要修正】「明細」シートが未入力です。",
IF(AND(AQ8="◎",AR8="◎"),AU8&amp;"適切に入力がされました。")))))))))</f>
        <v/>
      </c>
      <c r="AW8" s="159" t="str">
        <f t="shared" ref="AW8:AW29" si="5">IFERROR(DATE(AX8,AF8,AH8),"")</f>
        <v/>
      </c>
      <c r="AX8" s="160" t="str">
        <f t="shared" ref="AX8:AX29" si="6">IF(M8="","",SUM(2022,M8-4))</f>
        <v/>
      </c>
      <c r="AY8" s="161">
        <f t="shared" ref="AY8:AY29" si="7">O8</f>
        <v>0</v>
      </c>
      <c r="AZ8" s="161">
        <f t="shared" ref="AZ8:AZ29" si="8">Q8</f>
        <v>0</v>
      </c>
    </row>
    <row r="9" spans="2:52" ht="35.15" customHeight="1">
      <c r="B9" s="799"/>
      <c r="C9" s="411" t="s">
        <v>575</v>
      </c>
      <c r="D9" s="162" t="str">
        <f>IF(K9&gt;0,"（別添明細のとおり）","")</f>
        <v/>
      </c>
      <c r="E9" s="171">
        <f>IF(K9&gt;0,個人防護具!C8,0)</f>
        <v>0</v>
      </c>
      <c r="F9" s="172">
        <f>IF(E9=0,0,3600)</f>
        <v>0</v>
      </c>
      <c r="G9" s="172">
        <f>E9*F9</f>
        <v>0</v>
      </c>
      <c r="H9" s="162" t="str">
        <f>IF(D9="","",D9)</f>
        <v/>
      </c>
      <c r="I9" s="310">
        <f t="shared" si="0"/>
        <v>0</v>
      </c>
      <c r="J9" s="166">
        <f>K9</f>
        <v>0</v>
      </c>
      <c r="K9" s="164">
        <f>個人防護具!K2</f>
        <v>0</v>
      </c>
      <c r="L9" s="173" t="s">
        <v>574</v>
      </c>
      <c r="M9" s="174"/>
      <c r="N9" s="175" t="s">
        <v>89</v>
      </c>
      <c r="O9" s="174"/>
      <c r="P9" s="175" t="s">
        <v>90</v>
      </c>
      <c r="Q9" s="174"/>
      <c r="R9" s="176" t="s">
        <v>91</v>
      </c>
      <c r="U9" s="127" t="str">
        <f>IF(COUNTIF(AT7:AT17,"【要修正】型番、数量、単価（税込）の一部欄のみ入力されています。申請する場合は黄色セルを全て入力してください。")&gt;=1,"入力されていない箇所があります。",IF(COUNTIF(AT7:AT17,"申請しない場合は黄色セル入力不要です。")=9,"",IF(COUNTIF(AT7:AT17,"【要修正】型番、数量、単価（税込）の一部欄のみ入力されています。申請する場合は黄色セルを全て入力してください。")&gt;=1,"入力されていない箇所があります。","申請額が正しく表示されました。")))</f>
        <v>申請額が正しく表示されました。</v>
      </c>
      <c r="AA9" s="177" t="b">
        <f>IF(AT9="【要修正】《個人防護具のシートをご確認ください》"&amp;CHAR(10)&amp;"員数、防護具情報の入力に不足有","×",IF(AT9="【要修正】《個人防護具のシートをご確認ください》本シートで納品の日付が入力されていますが、個人防護具の申請情報が未入力となっています。","×",IF(AT9="【要修正】《個人防護具のシートをご確認ください》"&amp;CHAR(10)&amp;"員数情報が入力されていません。","×",IF(AT9="【要修正】《個人防護具のシートをご確認ください》"&amp;CHAR(10)&amp;"個人防護具の情報が適切に入力されていない箇所があります。","×",IF(AT9="【要修正】《個人防護具のシートをご確認ください》"&amp;CHAR(10)&amp;"個人防護具の情報が入力されていません。","×",IF(AT9="必要情報が全て入力されました。","○",IF(AT9="【要修正】《個人防護具のシートをご確認ください》"&amp;CHAR(10)&amp;"員数、防護具情報の入力に不足が有ります。"&amp;CHAR(10)&amp;"本シート中、納品予定日の日付が未記入となっています。","×",IF(AT9="申請しない場合は個人防護具シートの入力は不要です。","○",IF(AT9="【要修正】《個人防護具のシートをご確認ください》"&amp;CHAR(10)&amp;"員数情報が入力されていません。"&amp;CHAR(10)&amp;"本シート中、納品予定日の日付が未記入となっています。","×",IF(AT9="【要修正】《個人防護具のシートをご確認ください》"&amp;CHAR(10)&amp;"個人防護具の情報が適切に入力されていない箇所があります。"&amp;CHAR(10)&amp;"本シート中、納品予定日の日付が未記入となっています。","×",IF(AT9="【要修正】《個人防護具のシートをご確認ください》"&amp;CHAR(10)&amp;"個人防護具の情報が入力されていません。"&amp;CHAR(10)&amp;"本シート中、納品予定日の日付が未記入となっています。","×",IF(AT9="本シート中、納品予定日の日付が未記入となっています。",IF(AT9="【要修正】《個人防護具のシートをご確認ください》"&amp;CHAR(10)&amp;"員数、防護具情報の入力に不足が有ります。"&amp;CHAR(10)&amp;"本シート中、納品予定の日付が一部しか入力されていません。","×",IF(AT9="【要修正】《個人防護具のシートをご確認ください》個人防護具の申請情報が未入力となっています。"&amp;CHAR(10)&amp;"本シート中、納品予定の日付が一部しか入力されていません。","×",IF(AT9="【要修正】《個人防護具のシートをご確認ください》"&amp;CHAR(10)&amp;"員数情報が入力されていません。"&amp;CHAR(10)&amp;"本シート中、納品予定の日付が一部しか入力されていません。","×",IF(AT9="【要修正】《個人防護具のシートをご確認ください》"&amp;CHAR(10)&amp;"個人防護具の情報が適切に入力されていない箇所があります。"&amp;CHAR(10)&amp;"本シート中、納品予定の日付が一部しか入力されていません。","×",IF(AT9="【要修正】《個人防護具のシートをご確認ください》"&amp;CHAR(10)&amp;"個人防護具の情報が入力されていません。"&amp;CHAR(10)&amp;"本シート中、納品予定の日付が一部しか入力されていません。","×",IF(AT9="【要修正】本シート中、納品予定の日付が一部しか入力されていません。","×"))))))))))))))))))</f>
        <v>0</v>
      </c>
      <c r="AF9" s="154" t="str">
        <f t="shared" si="1"/>
        <v/>
      </c>
      <c r="AG9" s="155" t="str">
        <f>IFERROR(DATE(AF9,O9,Q9),"")</f>
        <v/>
      </c>
      <c r="AJ9" s="156" t="str">
        <f>IF(AND(AQ9="◎",AR9="×"),"事業完了予定の日付が入力されているが、個人防護具明細が入力不十分/",
IF(AND(AQ9="◎",AR9="○"),"事業完了予定の日付が入力されているが、個人防護具明細が未入力/",
IF(AND(AQ9="◎",AR9="◎"),"",
IF(AND(AQ9="○",AR9="×"),"個人防護具明細が入力不十分/事業完了予定の日付未入力/",
IF(AND(AQ9="○",AR9="○"),"",
IF(AND(AQ9="○",AR9="◎"),"個人防護具明細が入力されているが事業完了予定の日付未記入/",
IF(AND(AQ9="×",AR9="×"),"個人防護具明細の入力不十分/事業完了予定日付の入力不十分/",
IF(AND(AQ9="×",AR9="○"),"個人防護具明細が未入力/事業完了予定の日付の入力不十分/",
IF(AND(AQ9="×",AR9="◎"),"個人防護具明細が入力されているが事業完了予定の日付の入力不十分")))))))))</f>
        <v/>
      </c>
      <c r="AK9" s="157"/>
      <c r="AP9" s="128" t="s">
        <v>517</v>
      </c>
      <c r="AQ9" s="141" t="str">
        <f>IF(COUNTA(M9,O9,Q9)=0,"○",
IF(AND(COUNTA(M9,O9,Q9)&lt;3,COUNTA(M9,O9,Q9)&gt;=1),"×",
IF(COUNTA(M9,O9,Q9)=3,"◎")))</f>
        <v>○</v>
      </c>
      <c r="AR9" s="141" t="str">
        <f>個人防護具!AN118</f>
        <v>○</v>
      </c>
      <c r="AS9" s="141" t="str">
        <f xml:space="preserve">
IF(AND(AQ9="×",AR9="×"),"×",
IF(AND(AQ9="×",AR9="○"),"×",
IF(AND(AQ9="×",AR9="◎"),"×",
IF(AND(AQ9="○",AR9="×"),"×",
IF(AND(AQ9="○",AR9="○"),"○",
IF(AND(AQ9="○",AR9="◎"),"×",
IF(AND(AQ9="◎",AR9="×"),"×",
IF(AND(AQ9="◎",AR9="○"),"×",
IF(AND(AQ9="◎",AR9="◎"),"◎")))))))))</f>
        <v>○</v>
      </c>
      <c r="AT9" s="158" t="str">
        <f t="shared" si="4"/>
        <v>申請しない場合は入力不要です。</v>
      </c>
      <c r="AU9" s="132" t="str">
        <f>"【"&amp;C9&amp;"】"</f>
        <v>【個人防護具】</v>
      </c>
      <c r="AV9" s="127" t="str">
        <f xml:space="preserve">
IF(AND(AQ9="×",AR9="×"),AU9&amp;"本シート及び「明細」シートがいずれも入力不十分です。",
IF(AND(AQ9="×",AR9="○"),AU9&amp;"本シートが入力不十分、「明細」シートが未入力です。",
IF(AND(AQ9="×",AR9="◎"),AU9&amp;"本シートが入力不十分です。",
IF(AND(AQ9="○",AR9="×"),AU9&amp;"本シートが未入力、「明細」シートが入力不十分です。",
IF(AND(AQ9="○",AR9="○"),"",
IF(AND(AQ9="○",AR9="◎"),AU9&amp;"本シートが未入力です。",
IF(AND(AQ9="◎",AR9="×"),AU9&amp;"「明細」シートがいずれも入力不十分です。",
IF(AND(AQ9="◎",AR9="○"),AU9&amp;"【要修正】「明細」シートが未入力です。",
IF(AND(AQ9="◎",AR9="◎"),AU9&amp;"適切に入力がされました。")))))))))</f>
        <v/>
      </c>
      <c r="AW9" s="159" t="str">
        <f t="shared" si="5"/>
        <v/>
      </c>
      <c r="AX9" s="160" t="str">
        <f t="shared" si="6"/>
        <v/>
      </c>
      <c r="AY9" s="161">
        <f t="shared" si="7"/>
        <v>0</v>
      </c>
      <c r="AZ9" s="161">
        <f t="shared" si="8"/>
        <v>0</v>
      </c>
    </row>
    <row r="10" spans="2:52" ht="35.15" customHeight="1">
      <c r="B10" s="799"/>
      <c r="C10" s="178" t="s">
        <v>576</v>
      </c>
      <c r="D10" s="162" t="str">
        <f>IF(K10&gt;0,"（別添明細のとおり）","")</f>
        <v/>
      </c>
      <c r="E10" s="179">
        <f>COUNTIF(簡易陰圧装置!D30:D74,"設備")</f>
        <v>0</v>
      </c>
      <c r="F10" s="180">
        <f>IF(E10=0,0,4320000)</f>
        <v>0</v>
      </c>
      <c r="G10" s="180">
        <f>E10*F10</f>
        <v>0</v>
      </c>
      <c r="H10" s="181" t="str">
        <f t="shared" si="2"/>
        <v/>
      </c>
      <c r="I10" s="182">
        <f t="shared" si="0"/>
        <v>0</v>
      </c>
      <c r="J10" s="166">
        <f t="shared" ref="J10:J17" si="9">IFERROR(K10/I10,0)</f>
        <v>0</v>
      </c>
      <c r="K10" s="180">
        <f>簡易陰圧装置!J3</f>
        <v>0</v>
      </c>
      <c r="L10" s="173" t="s">
        <v>574</v>
      </c>
      <c r="M10" s="174"/>
      <c r="N10" s="175" t="s">
        <v>89</v>
      </c>
      <c r="O10" s="174"/>
      <c r="P10" s="175" t="s">
        <v>90</v>
      </c>
      <c r="Q10" s="174"/>
      <c r="R10" s="176" t="s">
        <v>91</v>
      </c>
      <c r="AA10" s="128" t="b">
        <f t="shared" ref="AA10:AA15" si="10">IF(AT10="申請しない場合は黄色セル入力不要です。","○",IF(AT10="【要修正】型番、数量、単価（税込）の一部欄のみ入力されています。"&amp;CHAR(10)&amp;"申請する場合は黄色セルを全て入力してください。","×",IF(AT10="必要情報が全て入力されました。","○")))</f>
        <v>0</v>
      </c>
      <c r="AF10" s="154" t="str">
        <f t="shared" si="1"/>
        <v/>
      </c>
      <c r="AG10" s="155" t="str">
        <f t="shared" si="3"/>
        <v/>
      </c>
      <c r="AJ10" s="156" t="str">
        <f>IF(AQ10="×","パーテーション（２行目）の入力項目/","")</f>
        <v/>
      </c>
      <c r="AK10" s="157"/>
      <c r="AP10" s="128" t="s">
        <v>517</v>
      </c>
      <c r="AQ10" s="141" t="str">
        <f>IF(COUNTA(M10,O10,Q10)=0,"○",
IF(AND(COUNTA(M10,O10,Q10)&lt;3,COUNTA(M10,O10,Q10)&gt;=1),"×",
IF(COUNTA(M10,O10,Q10)=3,"◎")))</f>
        <v>○</v>
      </c>
      <c r="AR10" s="141" t="str">
        <f>簡易陰圧装置!Z3</f>
        <v>○</v>
      </c>
      <c r="AS10" s="141" t="str">
        <f xml:space="preserve">
IF(AND(AQ10="×",AR10="×"),"×",
IF(AND(AQ10="×",AR10="○"),"×",
IF(AND(AQ10="×",AR10="◎"),"×",
IF(AND(AQ10="○",AR10="×"),"×",
IF(AND(AQ10="○",AR10="○"),"○",
IF(AND(AQ10="○",AR10="◎"),"×",
IF(AND(AQ10="◎",AR10="×"),"×",
IF(AND(AQ10="◎",AR10="○"),"×",
IF(AND(AQ10="◎",AR10="◎"),"◎")))))))))</f>
        <v>○</v>
      </c>
      <c r="AT10" s="158" t="str">
        <f t="shared" si="4"/>
        <v>申請しない場合は入力不要です。</v>
      </c>
      <c r="AU10" s="132" t="str">
        <f>"【"&amp;C10&amp;"】"</f>
        <v>【簡易陰圧装置】</v>
      </c>
      <c r="AV10" s="127" t="str">
        <f xml:space="preserve">
IF(AND(AQ10="×",AR10="×"),AU10&amp;"本シート及び「明細」シートがいずれも入力不十分です。",
IF(AND(AQ10="×",AR10="○"),AU10&amp;"本シートが入力不十分、「明細」シートが未入力です。",
IF(AND(AQ10="×",AR10="◎"),AU10&amp;"本シートが入力不十分です。",
IF(AND(AQ10="○",AR10="×"),AU10&amp;"本シートが未入力、「明細」シートが入力不十分です。",
IF(AND(AQ10="○",AR10="○"),"",
IF(AND(AQ10="○",AR10="◎"),AU10&amp;"本シートが未入力です。",
IF(AND(AQ10="◎",AR10="×"),AU10&amp;"「明細」シートがいずれも入力不十分です。",
IF(AND(AQ10="◎",AR10="○"),AU10&amp;"【要修正】「明細」シートが未入力です。",
IF(AND(AQ10="◎",AR10="◎"),AU10&amp;"適切に入力がされました。")))))))))</f>
        <v/>
      </c>
      <c r="AW10" s="159" t="str">
        <f t="shared" si="5"/>
        <v/>
      </c>
      <c r="AX10" s="160" t="str">
        <f t="shared" si="6"/>
        <v/>
      </c>
      <c r="AY10" s="161">
        <f t="shared" si="7"/>
        <v>0</v>
      </c>
      <c r="AZ10" s="161">
        <f t="shared" si="8"/>
        <v>0</v>
      </c>
    </row>
    <row r="11" spans="2:52" ht="35.15" customHeight="1">
      <c r="B11" s="799"/>
      <c r="C11" s="808" t="s">
        <v>577</v>
      </c>
      <c r="D11" s="311" t="str">
        <f>IF(K11&gt;0,簡易ベッド!E30,"")</f>
        <v/>
      </c>
      <c r="E11" s="163">
        <f>IF(簡易ベッド!F30="",0,簡易ベッド!F30)</f>
        <v>0</v>
      </c>
      <c r="F11" s="188">
        <f>IF(E11=0,0,51400)</f>
        <v>0</v>
      </c>
      <c r="G11" s="164">
        <f t="shared" ref="G11:G14" si="11">E11*F11</f>
        <v>0</v>
      </c>
      <c r="H11" s="165" t="str">
        <f>IF(D11="","",D11)</f>
        <v/>
      </c>
      <c r="I11" s="163">
        <f t="shared" si="0"/>
        <v>0</v>
      </c>
      <c r="J11" s="166">
        <f t="shared" si="9"/>
        <v>0</v>
      </c>
      <c r="K11" s="164">
        <f>IFERROR(簡易ベッド!K30*((簡易ベッド!$H$3-簡易ベッド!$I$3)/簡易ベッド!$H$3),0)</f>
        <v>0</v>
      </c>
      <c r="L11" s="183" t="s">
        <v>574</v>
      </c>
      <c r="M11" s="184"/>
      <c r="N11" s="185" t="s">
        <v>89</v>
      </c>
      <c r="O11" s="184"/>
      <c r="P11" s="185" t="s">
        <v>90</v>
      </c>
      <c r="Q11" s="184"/>
      <c r="R11" s="186" t="s">
        <v>91</v>
      </c>
      <c r="AA11" s="128" t="b">
        <f>IF(AT11="申請しない場合は黄色セル入力不要です。","○",IF(AT11="【要修正】型番、数量、単価（税込）の一部欄のみ入力されています。"&amp;CHAR(10)&amp;"申請する場合は黄色セルを全て入力してください。","×",IF(AT11="必要情報が全て入力されました。","○")))</f>
        <v>0</v>
      </c>
      <c r="AF11" s="154" t="str">
        <f t="shared" si="1"/>
        <v/>
      </c>
      <c r="AG11" s="155" t="str">
        <f>IFERROR(DATE(AF11,O11,Q11),"")</f>
        <v/>
      </c>
      <c r="AJ11" s="156" t="str">
        <f>IF(AQ11="×","簡易ベッド（１行目）の入力項目/","")</f>
        <v/>
      </c>
      <c r="AK11" s="157"/>
      <c r="AP11" s="128" t="s">
        <v>517</v>
      </c>
      <c r="AQ11" s="141" t="str">
        <f>IF(COUNTA(M11,O11,Q11)=0,"○",
IF(AND(COUNTA(M11,O11,Q11)&lt;3,COUNTA(M11,O11,Q11)&gt;=1),"×",
IF(COUNTA(M11,O11,Q11)=3,"◎")))</f>
        <v>○</v>
      </c>
      <c r="AR11" s="141" t="str">
        <f>簡易ベッド!Z3</f>
        <v>○</v>
      </c>
      <c r="AS11" s="141" t="str">
        <f t="shared" ref="AS11:AS17" si="12">AQ11</f>
        <v>○</v>
      </c>
      <c r="AT11" s="158" t="str">
        <f t="shared" si="4"/>
        <v>申請しない場合は入力不要です。</v>
      </c>
      <c r="AU11" s="132" t="str">
        <f>"【"&amp;$C$11&amp;"】"&amp;"1行目："</f>
        <v>【簡易ベッド】1行目：</v>
      </c>
      <c r="AV11" s="127" t="str">
        <f>IF(AQ11="○","",
IF(AQ11="×",AU11&amp;"【要修正】型番、数量、単価（税込）または納品の日付の一部欄のみ入力されています。",
IF(AQ11="◎","")))</f>
        <v/>
      </c>
      <c r="AW11" s="159" t="str">
        <f t="shared" si="5"/>
        <v/>
      </c>
      <c r="AX11" s="160" t="str">
        <f t="shared" si="6"/>
        <v/>
      </c>
      <c r="AY11" s="161">
        <f t="shared" si="7"/>
        <v>0</v>
      </c>
      <c r="AZ11" s="161">
        <f t="shared" si="8"/>
        <v>0</v>
      </c>
    </row>
    <row r="12" spans="2:52" ht="35.15" customHeight="1">
      <c r="B12" s="799"/>
      <c r="C12" s="809"/>
      <c r="D12" s="312" t="str">
        <f>IF(K12&gt;0,簡易ベッド!E31,"")</f>
        <v/>
      </c>
      <c r="E12" s="187">
        <f>IF(簡易ベッド!F31="",0,簡易ベッド!F31)</f>
        <v>0</v>
      </c>
      <c r="F12" s="188">
        <f>IF(E12=0,0,51400)</f>
        <v>0</v>
      </c>
      <c r="G12" s="188">
        <f t="shared" si="11"/>
        <v>0</v>
      </c>
      <c r="H12" s="189" t="str">
        <f>IF(D12="","",D12)</f>
        <v/>
      </c>
      <c r="I12" s="187">
        <f t="shared" si="0"/>
        <v>0</v>
      </c>
      <c r="J12" s="313">
        <f t="shared" si="9"/>
        <v>0</v>
      </c>
      <c r="K12" s="188">
        <f>IFERROR(簡易ベッド!K31*((簡易ベッド!$H$3-簡易ベッド!$I$3)/簡易ベッド!$H$3),0)</f>
        <v>0</v>
      </c>
      <c r="L12" s="190" t="s">
        <v>574</v>
      </c>
      <c r="M12" s="191"/>
      <c r="N12" s="192" t="s">
        <v>89</v>
      </c>
      <c r="O12" s="191"/>
      <c r="P12" s="192" t="s">
        <v>90</v>
      </c>
      <c r="Q12" s="191"/>
      <c r="R12" s="193" t="s">
        <v>91</v>
      </c>
      <c r="AA12" s="128" t="b">
        <f t="shared" si="10"/>
        <v>0</v>
      </c>
      <c r="AF12" s="154" t="str">
        <f t="shared" si="1"/>
        <v/>
      </c>
      <c r="AG12" s="155" t="str">
        <f>IFERROR(DATE(AF12,O12,Q12),"")</f>
        <v/>
      </c>
      <c r="AJ12" s="156" t="str">
        <f>IF(AQ12="×","簡易ベッド（２行目）の入力項目/","")</f>
        <v/>
      </c>
      <c r="AK12" s="157"/>
      <c r="AP12" s="128" t="s">
        <v>517</v>
      </c>
      <c r="AQ12" s="141" t="str">
        <f t="shared" ref="AQ12:AQ17" si="13">IF(COUNTA(M12,O12,Q12)=0,"○",
IF(AND(COUNTA(M12,O12,Q12)&lt;3,COUNTA(M12,O12,Q12)&gt;=1),"×",
IF(COUNTA(M12,O12,Q12)=3,"◎")))</f>
        <v>○</v>
      </c>
      <c r="AR12" s="141" t="str">
        <f>簡易ベッド!Z3</f>
        <v>○</v>
      </c>
      <c r="AS12" s="141" t="str">
        <f t="shared" si="12"/>
        <v>○</v>
      </c>
      <c r="AT12" s="158" t="str">
        <f t="shared" si="4"/>
        <v>申請しない場合は入力不要です。</v>
      </c>
      <c r="AU12" s="132" t="str">
        <f>"【"&amp;$C$11&amp;"】"&amp;"2行目："</f>
        <v>【簡易ベッド】2行目：</v>
      </c>
      <c r="AV12" s="127" t="str">
        <f t="shared" ref="AV12:AV21" si="14">IF(AQ12="○","",
IF(AQ12="×",AU12&amp;"【要修正】型番、数量、単価（税込）または納品の日付の一部欄のみ入力されています。",
IF(AQ12="◎","")))</f>
        <v/>
      </c>
      <c r="AW12" s="159" t="str">
        <f t="shared" si="5"/>
        <v/>
      </c>
      <c r="AX12" s="160" t="str">
        <f t="shared" si="6"/>
        <v/>
      </c>
      <c r="AY12" s="161">
        <f t="shared" si="7"/>
        <v>0</v>
      </c>
      <c r="AZ12" s="161">
        <f t="shared" si="8"/>
        <v>0</v>
      </c>
    </row>
    <row r="13" spans="2:52" ht="35.15" customHeight="1">
      <c r="B13" s="799"/>
      <c r="C13" s="809"/>
      <c r="D13" s="312" t="str">
        <f>IF(K13&gt;0,簡易ベッド!E32,"")</f>
        <v/>
      </c>
      <c r="E13" s="187">
        <f>IF(簡易ベッド!F32="",0,簡易ベッド!F32)</f>
        <v>0</v>
      </c>
      <c r="F13" s="188">
        <f>IF(E13=0,0,51400)</f>
        <v>0</v>
      </c>
      <c r="G13" s="188">
        <f t="shared" si="11"/>
        <v>0</v>
      </c>
      <c r="H13" s="189" t="str">
        <f>IF(D13="","",D13)</f>
        <v/>
      </c>
      <c r="I13" s="187">
        <f t="shared" si="0"/>
        <v>0</v>
      </c>
      <c r="J13" s="313">
        <f t="shared" si="9"/>
        <v>0</v>
      </c>
      <c r="K13" s="188">
        <f>IFERROR(簡易ベッド!K32*((簡易ベッド!$H$3-簡易ベッド!$I$3)/簡易ベッド!$H$3),0)</f>
        <v>0</v>
      </c>
      <c r="L13" s="190" t="s">
        <v>574</v>
      </c>
      <c r="M13" s="191"/>
      <c r="N13" s="192" t="s">
        <v>89</v>
      </c>
      <c r="O13" s="191"/>
      <c r="P13" s="192" t="s">
        <v>90</v>
      </c>
      <c r="Q13" s="191"/>
      <c r="R13" s="193" t="s">
        <v>91</v>
      </c>
      <c r="AA13" s="128" t="b">
        <f t="shared" si="10"/>
        <v>0</v>
      </c>
      <c r="AF13" s="154" t="str">
        <f t="shared" si="1"/>
        <v/>
      </c>
      <c r="AG13" s="155" t="str">
        <f>IFERROR(DATE(AF13,O13,Q13),"")</f>
        <v/>
      </c>
      <c r="AJ13" s="156" t="str">
        <f>IF(AQ13="×","簡易ベッド（３行目）の入力項目/","")</f>
        <v/>
      </c>
      <c r="AK13" s="157"/>
      <c r="AP13" s="128" t="s">
        <v>517</v>
      </c>
      <c r="AQ13" s="141" t="str">
        <f t="shared" si="13"/>
        <v>○</v>
      </c>
      <c r="AR13" s="141" t="str">
        <f>簡易ベッド!Z3</f>
        <v>○</v>
      </c>
      <c r="AS13" s="141" t="str">
        <f t="shared" si="12"/>
        <v>○</v>
      </c>
      <c r="AT13" s="158" t="str">
        <f t="shared" si="4"/>
        <v>申請しない場合は入力不要です。</v>
      </c>
      <c r="AU13" s="132" t="str">
        <f>"【"&amp;$C$11&amp;"】"&amp;"3行目："</f>
        <v>【簡易ベッド】3行目：</v>
      </c>
      <c r="AV13" s="127" t="str">
        <f t="shared" si="14"/>
        <v/>
      </c>
      <c r="AW13" s="159" t="str">
        <f t="shared" si="5"/>
        <v/>
      </c>
      <c r="AX13" s="160" t="str">
        <f t="shared" si="6"/>
        <v/>
      </c>
      <c r="AY13" s="161">
        <f t="shared" si="7"/>
        <v>0</v>
      </c>
      <c r="AZ13" s="161">
        <f t="shared" si="8"/>
        <v>0</v>
      </c>
    </row>
    <row r="14" spans="2:52" ht="35.15" customHeight="1">
      <c r="B14" s="799"/>
      <c r="C14" s="809"/>
      <c r="D14" s="314" t="str">
        <f>IF(K14&gt;0,簡易ベッド!E33,"")</f>
        <v/>
      </c>
      <c r="E14" s="194">
        <f>IF(簡易ベッド!F33="",0,簡易ベッド!F33)</f>
        <v>0</v>
      </c>
      <c r="F14" s="195">
        <f>IF(E14=0,0,51400)</f>
        <v>0</v>
      </c>
      <c r="G14" s="195">
        <f t="shared" si="11"/>
        <v>0</v>
      </c>
      <c r="H14" s="196" t="str">
        <f>IF(D14="","",D14)</f>
        <v/>
      </c>
      <c r="I14" s="194">
        <f t="shared" si="0"/>
        <v>0</v>
      </c>
      <c r="J14" s="213">
        <f t="shared" si="9"/>
        <v>0</v>
      </c>
      <c r="K14" s="195">
        <f>IFERROR(簡易ベッド!K33*((簡易ベッド!$H$3-簡易ベッド!$I$3)/簡易ベッド!$H$3),0)</f>
        <v>0</v>
      </c>
      <c r="L14" s="197" t="s">
        <v>574</v>
      </c>
      <c r="M14" s="198"/>
      <c r="N14" s="199" t="s">
        <v>89</v>
      </c>
      <c r="O14" s="198"/>
      <c r="P14" s="199" t="s">
        <v>90</v>
      </c>
      <c r="Q14" s="198"/>
      <c r="R14" s="200" t="s">
        <v>91</v>
      </c>
      <c r="AA14" s="128" t="b">
        <f t="shared" si="10"/>
        <v>0</v>
      </c>
      <c r="AF14" s="154" t="str">
        <f t="shared" si="1"/>
        <v/>
      </c>
      <c r="AG14" s="155" t="str">
        <f>IFERROR(DATE(AF14,O14,Q14),"")</f>
        <v/>
      </c>
      <c r="AJ14" s="156" t="str">
        <f>IF(AQ14="×","簡易ベッド（４行目）の入力項目/","")</f>
        <v/>
      </c>
      <c r="AK14" s="157"/>
      <c r="AP14" s="128" t="s">
        <v>517</v>
      </c>
      <c r="AQ14" s="141" t="str">
        <f t="shared" si="13"/>
        <v>○</v>
      </c>
      <c r="AR14" s="141" t="str">
        <f>簡易ベッド!Z3</f>
        <v>○</v>
      </c>
      <c r="AS14" s="141" t="str">
        <f t="shared" si="12"/>
        <v>○</v>
      </c>
      <c r="AT14" s="158" t="str">
        <f t="shared" si="4"/>
        <v>申請しない場合は入力不要です。</v>
      </c>
      <c r="AU14" s="132" t="str">
        <f>"【"&amp;$C$11&amp;"】"&amp;"4行目："</f>
        <v>【簡易ベッド】4行目：</v>
      </c>
      <c r="AV14" s="127" t="str">
        <f t="shared" si="14"/>
        <v/>
      </c>
      <c r="AW14" s="159" t="str">
        <f t="shared" si="5"/>
        <v/>
      </c>
      <c r="AX14" s="160" t="str">
        <f t="shared" si="6"/>
        <v/>
      </c>
      <c r="AY14" s="161">
        <f t="shared" si="7"/>
        <v>0</v>
      </c>
      <c r="AZ14" s="161">
        <f t="shared" si="8"/>
        <v>0</v>
      </c>
    </row>
    <row r="15" spans="2:52" ht="35.15" customHeight="1">
      <c r="B15" s="799"/>
      <c r="C15" s="808" t="s">
        <v>578</v>
      </c>
      <c r="D15" s="311" t="str">
        <f>IF(K15&gt;0,体外式膜型人工肺!E30,"")</f>
        <v/>
      </c>
      <c r="E15" s="201">
        <f>IF(体外式膜型人工肺!F30="",0,体外式膜型人工肺!F30)</f>
        <v>0</v>
      </c>
      <c r="F15" s="164">
        <f>IF(E15=0,0,K15)</f>
        <v>0</v>
      </c>
      <c r="G15" s="172">
        <f>E15*F15</f>
        <v>0</v>
      </c>
      <c r="H15" s="202" t="str">
        <f t="shared" si="2"/>
        <v/>
      </c>
      <c r="I15" s="163">
        <f t="shared" si="0"/>
        <v>0</v>
      </c>
      <c r="J15" s="166">
        <f t="shared" si="9"/>
        <v>0</v>
      </c>
      <c r="K15" s="164">
        <f>IFERROR(体外式膜型人工肺!K30*((体外式膜型人工肺!$H$3-体外式膜型人工肺!$I$3)/体外式膜型人工肺!$H$3),0)</f>
        <v>0</v>
      </c>
      <c r="L15" s="183" t="s">
        <v>574</v>
      </c>
      <c r="M15" s="184"/>
      <c r="N15" s="185" t="s">
        <v>89</v>
      </c>
      <c r="O15" s="184"/>
      <c r="P15" s="185" t="s">
        <v>90</v>
      </c>
      <c r="Q15" s="184"/>
      <c r="R15" s="186" t="s">
        <v>91</v>
      </c>
      <c r="AA15" s="128" t="b">
        <f t="shared" si="10"/>
        <v>0</v>
      </c>
      <c r="AF15" s="154" t="str">
        <f t="shared" si="1"/>
        <v/>
      </c>
      <c r="AG15" s="155" t="str">
        <f t="shared" si="3"/>
        <v/>
      </c>
      <c r="AJ15" s="156" t="str">
        <f>IF(AQ15="×","パーテーション（３行目）の入力項目/","")</f>
        <v/>
      </c>
      <c r="AK15" s="157"/>
      <c r="AP15" s="128" t="s">
        <v>517</v>
      </c>
      <c r="AQ15" s="141" t="str">
        <f t="shared" si="13"/>
        <v>○</v>
      </c>
      <c r="AR15" s="141" t="str">
        <f>体外式膜型人工肺!Z3</f>
        <v>○</v>
      </c>
      <c r="AS15" s="141" t="str">
        <f t="shared" si="12"/>
        <v>○</v>
      </c>
      <c r="AT15" s="158" t="str">
        <f t="shared" si="4"/>
        <v>申請しない場合は入力不要です。</v>
      </c>
      <c r="AU15" s="132" t="str">
        <f>"【"&amp;$C$15&amp;"】"&amp;"1行目："</f>
        <v>【体外式膜型人工肺】1行目：</v>
      </c>
      <c r="AV15" s="127" t="str">
        <f t="shared" si="14"/>
        <v/>
      </c>
      <c r="AW15" s="159" t="str">
        <f t="shared" si="5"/>
        <v/>
      </c>
      <c r="AX15" s="160" t="str">
        <f t="shared" si="6"/>
        <v/>
      </c>
      <c r="AY15" s="161">
        <f t="shared" si="7"/>
        <v>0</v>
      </c>
      <c r="AZ15" s="161">
        <f t="shared" si="8"/>
        <v>0</v>
      </c>
    </row>
    <row r="16" spans="2:52" ht="35.15" customHeight="1">
      <c r="B16" s="799"/>
      <c r="C16" s="810"/>
      <c r="D16" s="314" t="str">
        <f>IF(K16&gt;0,体外式膜型人工肺!E31,"")</f>
        <v/>
      </c>
      <c r="E16" s="203">
        <f>IF(体外式膜型人工肺!F31="",0,体外式膜型人工肺!F31)</f>
        <v>0</v>
      </c>
      <c r="F16" s="188">
        <f>IF(E16=0,0,K16)</f>
        <v>0</v>
      </c>
      <c r="G16" s="188">
        <f>E16*F16</f>
        <v>0</v>
      </c>
      <c r="H16" s="189" t="str">
        <f t="shared" si="2"/>
        <v/>
      </c>
      <c r="I16" s="194">
        <f t="shared" si="0"/>
        <v>0</v>
      </c>
      <c r="J16" s="213">
        <f t="shared" si="9"/>
        <v>0</v>
      </c>
      <c r="K16" s="204">
        <f>IFERROR(体外式膜型人工肺!K31*((体外式膜型人工肺!$H$3-体外式膜型人工肺!$I$3)/体外式膜型人工肺!$H$3),0)</f>
        <v>0</v>
      </c>
      <c r="L16" s="197" t="s">
        <v>574</v>
      </c>
      <c r="M16" s="198"/>
      <c r="N16" s="199" t="s">
        <v>89</v>
      </c>
      <c r="O16" s="198"/>
      <c r="P16" s="199" t="s">
        <v>90</v>
      </c>
      <c r="Q16" s="198"/>
      <c r="R16" s="200" t="s">
        <v>91</v>
      </c>
      <c r="AA16" s="128"/>
      <c r="AF16" s="154"/>
      <c r="AG16" s="155"/>
      <c r="AJ16" s="156"/>
      <c r="AK16" s="157"/>
      <c r="AP16" s="128" t="s">
        <v>517</v>
      </c>
      <c r="AQ16" s="141" t="str">
        <f t="shared" si="13"/>
        <v>○</v>
      </c>
      <c r="AR16" s="141" t="str">
        <f>体外式膜型人工肺!Z3</f>
        <v>○</v>
      </c>
      <c r="AS16" s="141" t="str">
        <f t="shared" si="12"/>
        <v>○</v>
      </c>
      <c r="AT16" s="158" t="str">
        <f t="shared" si="4"/>
        <v>申請しない場合は入力不要です。</v>
      </c>
      <c r="AU16" s="132" t="str">
        <f>"【"&amp;$C$15&amp;"】"&amp;"2行目："</f>
        <v>【体外式膜型人工肺】2行目：</v>
      </c>
      <c r="AV16" s="127" t="str">
        <f t="shared" si="14"/>
        <v/>
      </c>
      <c r="AW16" s="159" t="str">
        <f t="shared" si="5"/>
        <v/>
      </c>
      <c r="AX16" s="160" t="str">
        <f t="shared" si="6"/>
        <v/>
      </c>
      <c r="AY16" s="161">
        <f t="shared" si="7"/>
        <v>0</v>
      </c>
      <c r="AZ16" s="161">
        <f t="shared" si="8"/>
        <v>0</v>
      </c>
    </row>
    <row r="17" spans="2:52" ht="35.15" customHeight="1">
      <c r="B17" s="799"/>
      <c r="C17" s="811"/>
      <c r="D17" s="315" t="str">
        <f>IF(K17&gt;0,体外式膜型人工肺!E32,"")</f>
        <v/>
      </c>
      <c r="E17" s="205">
        <f>IF(体外式膜型人工肺!F32="",0,体外式膜型人工肺!F32)</f>
        <v>0</v>
      </c>
      <c r="F17" s="206">
        <f>IF(E17=0,0,K17)</f>
        <v>0</v>
      </c>
      <c r="G17" s="206">
        <f>E17*F17</f>
        <v>0</v>
      </c>
      <c r="H17" s="207" t="str">
        <f t="shared" si="2"/>
        <v/>
      </c>
      <c r="I17" s="194">
        <f t="shared" si="0"/>
        <v>0</v>
      </c>
      <c r="J17" s="316">
        <f t="shared" si="9"/>
        <v>0</v>
      </c>
      <c r="K17" s="206">
        <f>IFERROR(体外式膜型人工肺!K32*((体外式膜型人工肺!$H$3-体外式膜型人工肺!$I$3)/体外式膜型人工肺!$H$3),0)</f>
        <v>0</v>
      </c>
      <c r="L17" s="208" t="s">
        <v>574</v>
      </c>
      <c r="M17" s="209"/>
      <c r="N17" s="210" t="s">
        <v>89</v>
      </c>
      <c r="O17" s="209"/>
      <c r="P17" s="210" t="s">
        <v>90</v>
      </c>
      <c r="Q17" s="209"/>
      <c r="R17" s="211" t="s">
        <v>91</v>
      </c>
      <c r="AA17" s="128" t="b">
        <f>IF(AT17="申請しない場合は黄色セル入力不要です。","○",IF(AT17="【要修正】型番、数量、単価（税込）の一部欄のみ入力されています。"&amp;CHAR(10)&amp;"申請する場合は黄色セルを全て入力してください。","×",IF(AT17="必要情報が全て入力されました。","○")))</f>
        <v>0</v>
      </c>
      <c r="AF17" s="154" t="str">
        <f>IF(M17="","",SUM(2022,M17-4))</f>
        <v/>
      </c>
      <c r="AG17" s="155" t="str">
        <f t="shared" si="3"/>
        <v/>
      </c>
      <c r="AJ17" s="156" t="str">
        <f>IF(AQ17="×","パーテーション（４行目）の入力項目/","")</f>
        <v/>
      </c>
      <c r="AK17" s="157"/>
      <c r="AP17" s="128" t="s">
        <v>517</v>
      </c>
      <c r="AQ17" s="141" t="str">
        <f t="shared" si="13"/>
        <v>○</v>
      </c>
      <c r="AR17" s="141" t="str">
        <f>体外式膜型人工肺!Z3</f>
        <v>○</v>
      </c>
      <c r="AS17" s="141" t="str">
        <f t="shared" si="12"/>
        <v>○</v>
      </c>
      <c r="AT17" s="158" t="str">
        <f t="shared" si="4"/>
        <v>申請しない場合は入力不要です。</v>
      </c>
      <c r="AU17" s="132" t="str">
        <f>"【"&amp;$C$15&amp;"】"&amp;"3行目："</f>
        <v>【体外式膜型人工肺】3行目：</v>
      </c>
      <c r="AV17" s="127" t="str">
        <f t="shared" si="14"/>
        <v/>
      </c>
      <c r="AW17" s="159" t="str">
        <f t="shared" si="5"/>
        <v/>
      </c>
      <c r="AX17" s="160" t="str">
        <f t="shared" si="6"/>
        <v/>
      </c>
      <c r="AY17" s="161">
        <f t="shared" si="7"/>
        <v>0</v>
      </c>
      <c r="AZ17" s="161">
        <f t="shared" si="8"/>
        <v>0</v>
      </c>
    </row>
    <row r="18" spans="2:52" ht="35.15" customHeight="1">
      <c r="B18" s="800"/>
      <c r="C18" s="411" t="s">
        <v>579</v>
      </c>
      <c r="D18" s="162" t="str">
        <f>IF(K18&gt;0,"（別添明細のとおり）","")</f>
        <v/>
      </c>
      <c r="E18" s="212">
        <f>IF(K18=0,0,1)</f>
        <v>0</v>
      </c>
      <c r="F18" s="195">
        <f>IF(J18="",0,J18)</f>
        <v>0</v>
      </c>
      <c r="G18" s="195">
        <f>K18</f>
        <v>0</v>
      </c>
      <c r="H18" s="196" t="str">
        <f>IF(D18="","",D18)</f>
        <v/>
      </c>
      <c r="I18" s="212">
        <f>IF(K18&lt;&gt;0,1,0)</f>
        <v>0</v>
      </c>
      <c r="J18" s="213">
        <f>K18</f>
        <v>0</v>
      </c>
      <c r="K18" s="195">
        <f>簡易病室!J3</f>
        <v>0</v>
      </c>
      <c r="L18" s="197" t="s">
        <v>574</v>
      </c>
      <c r="M18" s="198"/>
      <c r="N18" s="199" t="s">
        <v>89</v>
      </c>
      <c r="O18" s="198"/>
      <c r="P18" s="199" t="s">
        <v>90</v>
      </c>
      <c r="Q18" s="198"/>
      <c r="R18" s="200" t="s">
        <v>91</v>
      </c>
      <c r="AA18" s="128" t="b">
        <f>IF(AT18="規格、数量、単価の入力に不足有","×",IF(AT18="簡易診療室の補助申請をしない場合は可","○",IF(AT18="必要情報が全て入力されました。","○")))</f>
        <v>0</v>
      </c>
      <c r="AF18" s="154" t="str">
        <f>IF(M18="","",SUM(2022,M18-4))</f>
        <v/>
      </c>
      <c r="AG18" s="155" t="str">
        <f t="shared" si="3"/>
        <v/>
      </c>
      <c r="AJ18" s="156" t="str">
        <f xml:space="preserve">
IF(AND(AQ18="◎",AR18="×"),"様式１－２に事業完了予定の日付が入力されているが、「簡易診療室明細」が入力不十分です。/",
IF(AND(AQ18="◎",AR18="○"),"様式１－２に事業完了予定の日付が入力されているが、「簡易診療室明細」が未入力。/",
IF(AND(AQ18="◎",AR18="◎"),"",
IF(AND(AQ18="○",AR18="×"),"様式１－２に事業完了予定の日付が未入力、「簡易診療室明細」が入力不十分。/",
IF(AND(AQ18="○",AR18="○"),"",
IF(AND(AQ18="○",AR18="◎"),"【要修正】「簡易診療室明細」が入力されているが、本シートに事業完了予定の日付が未入力。/",
IF(AND(AQ18="×",AR18="×"),"様式１－２及び「簡易診療室明細」の入力がいずれも不十分。/",
IF(AND(AQ18="×",AR18="○"),"様式１－２に事業完了予定の日付が入力不十分、「簡易診療室明細」が未入力。/",
IF(AND(AQ18="×",AR18="◎"),"【要修正】「簡易診療室明細」が入力されているが、本シートに事業完了予定の日付が入力不十分。/")))))))))</f>
        <v/>
      </c>
      <c r="AK18" s="157"/>
      <c r="AP18" s="128" t="s">
        <v>517</v>
      </c>
      <c r="AQ18" s="141" t="str">
        <f>IF(COUNTA(M18,O18,Q18)=0,"○",
IF(AND(COUNTA(M18,O18,Q18)&lt;3,COUNTA(M18,O18,Q18)&gt;=1),"×",
IF(COUNTA(M18,O18,Q18)=3,"◎")))</f>
        <v>○</v>
      </c>
      <c r="AR18" s="141" t="str">
        <f>簡易病室!Z3</f>
        <v>○</v>
      </c>
      <c r="AS18" s="141" t="str">
        <f xml:space="preserve">
IF(AND(AQ18="×",AR18="×"),"×",
IF(AND(AQ18="×",AR18="○"),"×",
IF(AND(AQ18="×",AR18="◎"),"×",
IF(AND(AQ18="○",AR18="×"),"×",
IF(AND(AQ18="○",AR18="○"),"○",
IF(AND(AQ18="○",AR18="◎"),"×",
IF(AND(AQ18="◎",AR18="×"),"×",
IF(AND(AQ18="◎",AR18="○"),"×",
IF(AND(AQ18="◎",AR18="◎"),"◎")))))))))</f>
        <v>○</v>
      </c>
      <c r="AT18" s="158" t="str">
        <f t="shared" si="4"/>
        <v>申請しない場合は入力不要です。</v>
      </c>
      <c r="AU18" s="132" t="str">
        <f>"【"&amp;C18&amp;"】"</f>
        <v>【簡易病室】</v>
      </c>
      <c r="AV18" s="127" t="str">
        <f xml:space="preserve">
IF(AND(AQ18="×",AR18="×"),AU18&amp;"本シート及び「明細」シートがいずれも入力不十分です。",
IF(AND(AQ18="×",AR18="○"),AU18&amp;"本シートが入力不十分、「明細」シートが未入力です。",
IF(AND(AQ18="×",AR18="◎"),AU18&amp;"本シートが入力不十分です。",
IF(AND(AQ18="○",AR18="×"),AU18&amp;"本シートが未入力、「明細」シートが入力不十分です。",
IF(AND(AQ18="○",AR18="○"),"",
IF(AND(AQ18="○",AR18="◎"),AU18&amp;"本シートが未入力です。",
IF(AND(AQ18="◎",AR18="×"),AU18&amp;"「明細」シートがいずれも入力不十分です。",
IF(AND(AQ18="◎",AR18="○"),AU18&amp;"【要修正】「明細」シートが未入力です。",
IF(AND(AQ18="◎",AR18="◎"),AU18&amp;"適切に入力がされました。")))))))))</f>
        <v/>
      </c>
      <c r="AW18" s="159" t="str">
        <f t="shared" si="5"/>
        <v/>
      </c>
      <c r="AX18" s="160" t="str">
        <f t="shared" si="6"/>
        <v/>
      </c>
      <c r="AY18" s="161">
        <f t="shared" si="7"/>
        <v>0</v>
      </c>
      <c r="AZ18" s="161">
        <f t="shared" si="8"/>
        <v>0</v>
      </c>
    </row>
    <row r="19" spans="2:52" ht="35.15" customHeight="1">
      <c r="B19" s="787" t="s">
        <v>580</v>
      </c>
      <c r="C19" s="790" t="s">
        <v>582</v>
      </c>
      <c r="D19" s="311" t="str">
        <f>IF(K15&gt;0,紫外線照射装置!E30,"")</f>
        <v/>
      </c>
      <c r="E19" s="163">
        <f>IF(紫外線照射装置!F30="",0,紫外線照射装置!F30)</f>
        <v>0</v>
      </c>
      <c r="F19" s="164"/>
      <c r="G19" s="164"/>
      <c r="H19" s="165" t="str">
        <f>IF(D19="","",D19)</f>
        <v/>
      </c>
      <c r="I19" s="163">
        <f>IF(E19&lt;&gt;0,E19,0)</f>
        <v>0</v>
      </c>
      <c r="J19" s="166">
        <f>IFERROR(K19/I19,0)</f>
        <v>0</v>
      </c>
      <c r="K19" s="164">
        <f>IFERROR(紫外線照射装置!K30*((紫外線照射装置!$H$3-紫外線照射装置!$I$3)/紫外線照射装置!$H$3),0)</f>
        <v>0</v>
      </c>
      <c r="L19" s="183" t="s">
        <v>574</v>
      </c>
      <c r="M19" s="184"/>
      <c r="N19" s="185" t="s">
        <v>89</v>
      </c>
      <c r="O19" s="184"/>
      <c r="P19" s="185" t="s">
        <v>90</v>
      </c>
      <c r="Q19" s="184"/>
      <c r="R19" s="186" t="s">
        <v>91</v>
      </c>
      <c r="AA19" s="128"/>
      <c r="AF19" s="154" t="str">
        <f>IF(M19="","",SUM(2022,M19-4))</f>
        <v/>
      </c>
      <c r="AG19" s="155" t="str">
        <f>IFERROR(DATE(AF19,O19,Q19),"")</f>
        <v/>
      </c>
      <c r="AJ19" s="156" t="str">
        <f>IF(AQ19="×","紫外線照射装置（１行目）の入力項目/","")</f>
        <v/>
      </c>
      <c r="AK19" s="157"/>
      <c r="AP19" s="128" t="s">
        <v>517</v>
      </c>
      <c r="AQ19" s="141" t="str">
        <f>IF(COUNTA(M19,O19,Q19)=0,"○",
IF(AND(COUNTA(M19,O19,Q19)&lt;3,COUNTA(M19,O19,Q19)&gt;=1),"×",
IF(COUNTA(M19,O19,Q19)=3,"◎")))</f>
        <v>○</v>
      </c>
      <c r="AR19" s="141" t="str">
        <f>紫外線照射装置!Z3</f>
        <v>○</v>
      </c>
      <c r="AS19" s="141" t="str">
        <f>AQ19</f>
        <v>○</v>
      </c>
      <c r="AT19" s="158" t="str">
        <f t="shared" si="4"/>
        <v>申請しない場合は入力不要です。</v>
      </c>
      <c r="AU19" s="132" t="str">
        <f>"【"&amp;$C$19&amp;"】"&amp;"１行目："</f>
        <v>【紫外線照射装置】１行目：</v>
      </c>
      <c r="AV19" s="127" t="str">
        <f t="shared" si="14"/>
        <v/>
      </c>
      <c r="AW19" s="159" t="str">
        <f t="shared" si="5"/>
        <v/>
      </c>
      <c r="AX19" s="160" t="str">
        <f t="shared" si="6"/>
        <v/>
      </c>
      <c r="AY19" s="161">
        <f t="shared" si="7"/>
        <v>0</v>
      </c>
      <c r="AZ19" s="161">
        <f t="shared" si="8"/>
        <v>0</v>
      </c>
    </row>
    <row r="20" spans="2:52" ht="35.15" customHeight="1">
      <c r="B20" s="788"/>
      <c r="C20" s="791"/>
      <c r="D20" s="312" t="str">
        <f>IF(K16&gt;0,紫外線照射装置!E31,"")</f>
        <v/>
      </c>
      <c r="E20" s="187">
        <f>IF(紫外線照射装置!F31="",0,紫外線照射装置!F31)</f>
        <v>0</v>
      </c>
      <c r="F20" s="188">
        <f>IF(SUM(E19:E21)=0,0,8000000)</f>
        <v>0</v>
      </c>
      <c r="G20" s="188">
        <f>IF(SUM(E19:E21)&lt;&gt;0,8000000,0)</f>
        <v>0</v>
      </c>
      <c r="H20" s="189" t="str">
        <f>IF(D20="","",D20)</f>
        <v/>
      </c>
      <c r="I20" s="187">
        <f>IF(E20&lt;&gt;0,E20,0)</f>
        <v>0</v>
      </c>
      <c r="J20" s="313">
        <f>IFERROR(K20/I20,0)</f>
        <v>0</v>
      </c>
      <c r="K20" s="188">
        <f>IFERROR(紫外線照射装置!K31*((紫外線照射装置!$H$3-紫外線照射装置!$I$3)/紫外線照射装置!$H$3),0)</f>
        <v>0</v>
      </c>
      <c r="L20" s="190" t="s">
        <v>574</v>
      </c>
      <c r="M20" s="191"/>
      <c r="N20" s="192" t="s">
        <v>89</v>
      </c>
      <c r="O20" s="191"/>
      <c r="P20" s="192" t="s">
        <v>90</v>
      </c>
      <c r="Q20" s="191"/>
      <c r="R20" s="193" t="s">
        <v>91</v>
      </c>
      <c r="AA20" s="128"/>
      <c r="AF20" s="154" t="str">
        <f>IF(M20="","",SUM(2022,M20-4))</f>
        <v/>
      </c>
      <c r="AG20" s="155" t="str">
        <f>IFERROR(DATE(AF20,O20,Q20),"")</f>
        <v/>
      </c>
      <c r="AJ20" s="156" t="str">
        <f>IF(AQ20="×","紫外線照射装置（１行目）の入力項目/","")</f>
        <v/>
      </c>
      <c r="AK20" s="157"/>
      <c r="AP20" s="128" t="s">
        <v>517</v>
      </c>
      <c r="AQ20" s="141" t="str">
        <f t="shared" ref="AQ20:AQ21" si="15">IF(COUNTA(M20,O20,Q20)=0,"○",
IF(AND(COUNTA(M20,O20,Q20)&lt;3,COUNTA(M20,O20,Q20)&gt;=1),"×",
IF(COUNTA(M20,O20,Q20)=3,"◎")))</f>
        <v>○</v>
      </c>
      <c r="AR20" s="141" t="str">
        <f>紫外線照射装置!Z3</f>
        <v>○</v>
      </c>
      <c r="AS20" s="141" t="str">
        <f>AQ20</f>
        <v>○</v>
      </c>
      <c r="AT20" s="158" t="str">
        <f t="shared" si="4"/>
        <v>申請しない場合は入力不要です。</v>
      </c>
      <c r="AU20" s="132" t="str">
        <f>"【"&amp;$C$19&amp;"】"&amp;"2行目："</f>
        <v>【紫外線照射装置】2行目：</v>
      </c>
      <c r="AV20" s="127" t="str">
        <f t="shared" si="14"/>
        <v/>
      </c>
      <c r="AW20" s="159" t="str">
        <f t="shared" si="5"/>
        <v/>
      </c>
      <c r="AX20" s="160" t="str">
        <f t="shared" si="6"/>
        <v/>
      </c>
      <c r="AY20" s="161">
        <f t="shared" si="7"/>
        <v>0</v>
      </c>
      <c r="AZ20" s="161">
        <f t="shared" si="8"/>
        <v>0</v>
      </c>
    </row>
    <row r="21" spans="2:52" ht="35.15" customHeight="1" thickBot="1">
      <c r="B21" s="789"/>
      <c r="C21" s="792"/>
      <c r="D21" s="317" t="str">
        <f>IF(K17&gt;0,紫外線照射装置!E32,"")</f>
        <v/>
      </c>
      <c r="E21" s="214">
        <f>IF(紫外線照射装置!F32="",0,紫外線照射装置!F32)</f>
        <v>0</v>
      </c>
      <c r="F21" s="215"/>
      <c r="G21" s="215"/>
      <c r="H21" s="216" t="str">
        <f>IF(D21="","",D21)</f>
        <v/>
      </c>
      <c r="I21" s="214">
        <f>IF(E21&lt;&gt;0,E21,0)</f>
        <v>0</v>
      </c>
      <c r="J21" s="318">
        <f>IFERROR(K21/I21,0)</f>
        <v>0</v>
      </c>
      <c r="K21" s="215">
        <f>IFERROR(紫外線照射装置!K32*((紫外線照射装置!$H$3-紫外線照射装置!$I$3)/紫外線照射装置!$H$3),0)</f>
        <v>0</v>
      </c>
      <c r="L21" s="217" t="s">
        <v>574</v>
      </c>
      <c r="M21" s="218"/>
      <c r="N21" s="219" t="s">
        <v>89</v>
      </c>
      <c r="O21" s="218"/>
      <c r="P21" s="219" t="s">
        <v>90</v>
      </c>
      <c r="Q21" s="218"/>
      <c r="R21" s="220" t="s">
        <v>91</v>
      </c>
      <c r="AA21" s="128"/>
      <c r="AF21" s="154" t="str">
        <f>IF(M21="","",SUM(2022,M21-4))</f>
        <v/>
      </c>
      <c r="AG21" s="155" t="str">
        <f>IFERROR(DATE(AF21,O21,Q21),"")</f>
        <v/>
      </c>
      <c r="AJ21" s="156" t="str">
        <f>IF(AQ21="×","紫外線照射装置（１行目）の入力項目/","")</f>
        <v/>
      </c>
      <c r="AK21" s="157"/>
      <c r="AP21" s="128" t="s">
        <v>517</v>
      </c>
      <c r="AQ21" s="141" t="str">
        <f t="shared" si="15"/>
        <v>○</v>
      </c>
      <c r="AR21" s="141" t="str">
        <f>紫外線照射装置!Z3</f>
        <v>○</v>
      </c>
      <c r="AS21" s="141" t="str">
        <f>AQ21</f>
        <v>○</v>
      </c>
      <c r="AT21" s="158" t="str">
        <f t="shared" si="4"/>
        <v>申請しない場合は入力不要です。</v>
      </c>
      <c r="AU21" s="132" t="str">
        <f>"【"&amp;$C$19&amp;"】"&amp;"3行目："</f>
        <v>【紫外線照射装置】3行目：</v>
      </c>
      <c r="AV21" s="127" t="str">
        <f t="shared" si="14"/>
        <v/>
      </c>
      <c r="AW21" s="159" t="str">
        <f t="shared" si="5"/>
        <v/>
      </c>
      <c r="AX21" s="160" t="str">
        <f t="shared" si="6"/>
        <v/>
      </c>
      <c r="AY21" s="161">
        <f t="shared" si="7"/>
        <v>0</v>
      </c>
      <c r="AZ21" s="161">
        <f t="shared" si="8"/>
        <v>0</v>
      </c>
    </row>
    <row r="22" spans="2:52" ht="35.15" customHeight="1" thickTop="1" thickBot="1">
      <c r="B22" s="221" t="s">
        <v>583</v>
      </c>
      <c r="C22" s="222"/>
      <c r="D22" s="223"/>
      <c r="E22" s="224"/>
      <c r="F22" s="225"/>
      <c r="G22" s="226">
        <f>SUM(G7:G21)</f>
        <v>0</v>
      </c>
      <c r="H22" s="227"/>
      <c r="I22" s="224"/>
      <c r="J22" s="228"/>
      <c r="K22" s="229">
        <f>SUM(K7:K21)</f>
        <v>0</v>
      </c>
      <c r="L22" s="793"/>
      <c r="M22" s="794"/>
      <c r="N22" s="794"/>
      <c r="O22" s="794"/>
      <c r="P22" s="794"/>
      <c r="Q22" s="794"/>
      <c r="R22" s="795"/>
      <c r="AG22" s="230"/>
      <c r="AJ22" s="796"/>
      <c r="AK22" s="796"/>
      <c r="AL22" s="797"/>
      <c r="AP22" s="128"/>
      <c r="AW22" s="159" t="str">
        <f t="shared" si="5"/>
        <v/>
      </c>
      <c r="AX22" s="160" t="str">
        <f t="shared" si="6"/>
        <v/>
      </c>
      <c r="AY22" s="161">
        <f t="shared" si="7"/>
        <v>0</v>
      </c>
      <c r="AZ22" s="161">
        <f t="shared" si="8"/>
        <v>0</v>
      </c>
    </row>
    <row r="23" spans="2:52" ht="35.15" customHeight="1">
      <c r="B23" s="798" t="s">
        <v>584</v>
      </c>
      <c r="C23" s="144" t="s">
        <v>148</v>
      </c>
      <c r="D23" s="162" t="str">
        <f t="shared" ref="D23:D29" si="16">IF(K23&gt;0,"（別添明細のとおり）","")</f>
        <v/>
      </c>
      <c r="E23" s="231">
        <f>IF(K23=0,0,COUNTIF(超音波画像診断装置!$D$30:$D$74,"設備"))</f>
        <v>0</v>
      </c>
      <c r="F23" s="147">
        <v>11000000</v>
      </c>
      <c r="G23" s="147">
        <f t="shared" ref="G23:G29" si="17">E23*F23</f>
        <v>0</v>
      </c>
      <c r="H23" s="148" t="str">
        <f t="shared" ref="H23:H29" si="18">IF(D23="","",D23)</f>
        <v/>
      </c>
      <c r="I23" s="231">
        <f t="shared" ref="I23:I29" si="19">IF(E23&lt;&gt;0,E23,0)</f>
        <v>0</v>
      </c>
      <c r="J23" s="166">
        <f t="shared" ref="J23:J29" si="20">IFERROR(K23/I23,0)</f>
        <v>0</v>
      </c>
      <c r="K23" s="147">
        <f>超音波画像診断装置!J3</f>
        <v>0</v>
      </c>
      <c r="L23" s="150" t="s">
        <v>100</v>
      </c>
      <c r="M23" s="151"/>
      <c r="N23" s="152" t="s">
        <v>89</v>
      </c>
      <c r="O23" s="151"/>
      <c r="P23" s="152" t="s">
        <v>90</v>
      </c>
      <c r="Q23" s="151"/>
      <c r="R23" s="153" t="s">
        <v>91</v>
      </c>
      <c r="AA23" s="128" t="b">
        <f>IF(AT23="申請しない場合は黄色セル入力不要です。","○",IF(AT23="【要修正】型番、数量、単価（税込）の一部欄のみ入力されています。"&amp;CHAR(10)&amp;"申請する場合は黄色セルを全て入力してください。","×",IF(AT23="必要情報が全て入力されました。","○")))</f>
        <v>0</v>
      </c>
      <c r="AF23" s="154" t="str">
        <f t="shared" ref="AF23:AF29" si="21">IF(M23="","",SUM(2022,M23-4))</f>
        <v/>
      </c>
      <c r="AG23" s="155" t="str">
        <f t="shared" ref="AG23:AG29" si="22">IFERROR(DATE(AF23,O23,Q23),"")</f>
        <v/>
      </c>
      <c r="AJ23" s="156" t="str">
        <f>IF(AQ23="×","空気清浄機の入力項目/","")</f>
        <v/>
      </c>
      <c r="AK23" s="157"/>
      <c r="AP23" s="128" t="s">
        <v>517</v>
      </c>
      <c r="AQ23" s="141" t="str">
        <f>IF(COUNTA(M23,O23,Q23)=0,"○",IF(AND(COUNTA(M23,O23,Q23)&lt;3,COUNTA(M23,O23,Q23)&gt;=1),"×",IF(COUNTA(M23,O23,Q23)=3,"◎")))</f>
        <v>○</v>
      </c>
      <c r="AR23" s="141" t="str">
        <f>初度設備!Z3</f>
        <v>○</v>
      </c>
      <c r="AS23" s="141" t="str">
        <f xml:space="preserve">
IF(AND(AQ23="×",AR23="×"),"×",
IF(AND(AQ23="×",AR23="○"),"×",
IF(AND(AQ23="×",AR23="◎"),"×",
IF(AND(AQ23="○",AR23="×"),"×",
IF(AND(AQ23="○",AR23="○"),"○",
IF(AND(AQ23="○",AR23="◎"),"×",
IF(AND(AQ23="◎",AR23="×"),"×",
IF(AND(AQ23="◎",AR23="○"),"×",
IF(AND(AQ23="◎",AR23="◎"),"◎")))))))))</f>
        <v>○</v>
      </c>
      <c r="AT23" s="158" t="str">
        <f xml:space="preserve">
IF(AND(AQ23="×",AR23="×"),"【要修正】本シート及び「明細」シートがいずれも入力不十分です。",
IF(AND(AQ23="×",AR23="○"),"【要修正】本シートが入力不十分、「明細」シートが未入力です。",
IF(AND(AQ23="×",AR23="◎"),"【要修正】本シートが入力不十分です。",
IF(AND(AQ23="○",AR23="×"),"【要修正】本シートが未入力、「明細」シートが入力不十分です。",
IF(AND(AQ23="○",AR23="○"),"申請しない場合は入力不要です。",
IF(AND(AQ23="○",AR23="◎"),"【要修正】本シートが未入力です。",
IF(AND(AQ23="◎",AR23="×"),"【要修正】「明細」シートが入力不十分です。",
IF(AND(AQ23="◎",AR23="○"),"【要修正】「明細」シートが未入力です。",
IF(AND(AQ23="◎",AR23="◎"),"適切に入力がされました。")))))))))</f>
        <v>申請しない場合は入力不要です。</v>
      </c>
      <c r="AU23" s="132" t="str">
        <f>"【"&amp;C23&amp;"】"</f>
        <v>【超音波画像診断装置】</v>
      </c>
      <c r="AV23" s="127" t="str">
        <f t="shared" ref="AV23:AV29" si="23" xml:space="preserve">
IF(AND(AQ23="×",AR23="×"),AU23&amp;"本シート及び「明細」シートがいずれも入力不十分です。",
IF(AND(AQ23="×",AR23="○"),AU23&amp;"本シートが入力不十分、「明細」シートが未入力です。",
IF(AND(AQ23="×",AR23="◎"),AU23&amp;"本シートが入力不十分です。",
IF(AND(AQ23="○",AR23="×"),AU23&amp;"本シートが未入力、「明細」シートが入力不十分です。",
IF(AND(AQ23="○",AR23="○"),"",
IF(AND(AQ23="○",AR23="◎"),AU23&amp;"本シートが未入力です。",
IF(AND(AQ23="◎",AR23="×"),AU23&amp;"「明細」シートがいずれも入力不十分です。",
IF(AND(AQ23="◎",AR23="○"),AU23&amp;"【要修正】「明細」シートが未入力です。",
IF(AND(AQ23="◎",AR23="◎"),AU23&amp;"適切に入力がされました。")))))))))</f>
        <v/>
      </c>
      <c r="AW23" s="159" t="str">
        <f t="shared" si="5"/>
        <v/>
      </c>
      <c r="AX23" s="160" t="str">
        <f t="shared" si="6"/>
        <v/>
      </c>
      <c r="AY23" s="161">
        <f t="shared" si="7"/>
        <v>0</v>
      </c>
      <c r="AZ23" s="161">
        <f t="shared" si="8"/>
        <v>0</v>
      </c>
    </row>
    <row r="24" spans="2:52" ht="35.15" customHeight="1">
      <c r="B24" s="799"/>
      <c r="C24" s="411" t="s">
        <v>151</v>
      </c>
      <c r="D24" s="162" t="str">
        <f t="shared" si="16"/>
        <v/>
      </c>
      <c r="E24" s="163">
        <f>IF(K24=0,0,COUNTIF(血液浄化装置!$D$30:$D$74,"設備"))</f>
        <v>0</v>
      </c>
      <c r="F24" s="164">
        <v>6600000</v>
      </c>
      <c r="G24" s="164">
        <f t="shared" si="17"/>
        <v>0</v>
      </c>
      <c r="H24" s="165" t="str">
        <f t="shared" si="18"/>
        <v/>
      </c>
      <c r="I24" s="163">
        <f t="shared" si="19"/>
        <v>0</v>
      </c>
      <c r="J24" s="166">
        <f t="shared" si="20"/>
        <v>0</v>
      </c>
      <c r="K24" s="164">
        <f>血液浄化装置!J3</f>
        <v>0</v>
      </c>
      <c r="L24" s="167" t="s">
        <v>574</v>
      </c>
      <c r="M24" s="168"/>
      <c r="N24" s="169" t="s">
        <v>89</v>
      </c>
      <c r="O24" s="168"/>
      <c r="P24" s="169" t="s">
        <v>90</v>
      </c>
      <c r="Q24" s="168"/>
      <c r="R24" s="170" t="s">
        <v>91</v>
      </c>
      <c r="AA24" s="128" t="b">
        <f>IF(AT24="申請しない場合は黄色セル入力不要です。","○",IF(AT24="【要修正】型番、数量、単価（税込）の一部欄のみ入力されています。"&amp;CHAR(10)&amp;"申請する場合は黄色セルを全て入力してください。","×",IF(AT24="必要情報が全て入力されました。","○")))</f>
        <v>0</v>
      </c>
      <c r="AF24" s="154" t="str">
        <f t="shared" si="21"/>
        <v/>
      </c>
      <c r="AG24" s="155" t="str">
        <f t="shared" si="22"/>
        <v/>
      </c>
      <c r="AJ24" s="156" t="str">
        <f>IF(AQ24="×","パーテーション（１行目）の入力項目/","")</f>
        <v/>
      </c>
      <c r="AK24" s="157"/>
      <c r="AP24" s="128" t="s">
        <v>517</v>
      </c>
      <c r="AQ24" s="141" t="str">
        <f t="shared" ref="AQ24:AQ29" si="24">IF(COUNTA(M24,O24,Q24)=0,"○",IF(AND(COUNTA(M24,O24,Q24)&lt;3,COUNTA(M24,O24,Q24)&gt;=1),"×",IF(COUNTA(M24,O24,Q24)=3,"◎")))</f>
        <v>○</v>
      </c>
      <c r="AR24" s="141" t="str">
        <f>初度設備!Z3</f>
        <v>○</v>
      </c>
      <c r="AS24" s="141" t="str">
        <f t="shared" ref="AS24:AS29" si="25" xml:space="preserve">
IF(AND(AQ24="◎",AR24="×"),"×",
IF(AND(AQ24="◎",AR24="○"),"×",
IF(AND(AQ24="◎",AR24="◎"),"◎",
IF(AND(AQ24="○",AR24="×"),"×",
IF(AND(AQ24="○",AR24="○"),"○",
IF(AND(AQ24="○",AR24="◎"),"×",
IF(AND(AQ24="×",AR24="×"),"×",
IF(AND(AQ24="×",AR24="○"),"×",
IF(AND(AQ24="×",AR24="◎"),"×")))))))))</f>
        <v>○</v>
      </c>
      <c r="AT24" s="158" t="str">
        <f t="shared" ref="AT24:AT29" si="26" xml:space="preserve">
IF(AND(AQ24="×",AR24="×"),"【要修正】本シート及び「明細」シートがいずれも入力不十分です。",
IF(AND(AQ24="×",AR24="○"),"【要修正】本シートが入力不十分、「明細」シートが未入力です。",
IF(AND(AQ24="×",AR24="◎"),"【要修正】本シートが入力不十分です。",
IF(AND(AQ24="○",AR24="×"),"【要修正】本シートが未入力、「明細」シートが入力不十分です。",
IF(AND(AQ24="○",AR24="○"),"申請しない場合は入力不要です。",
IF(AND(AQ24="○",AR24="◎"),"【要修正】本シートが未入力です。",
IF(AND(AQ24="◎",AR24="×"),"【要修正】「明細」シートが入力不十分です。",
IF(AND(AQ24="◎",AR24="○"),"【要修正】「明細」シートが未入力です。",
IF(AND(AQ24="◎",AR24="◎"),"適切に入力がされました。")))))))))</f>
        <v>申請しない場合は入力不要です。</v>
      </c>
      <c r="AU24" s="132" t="str">
        <f t="shared" ref="AU24:AU29" si="27">"【"&amp;C24&amp;"】"</f>
        <v>【血液浄化装置】</v>
      </c>
      <c r="AV24" s="127" t="str">
        <f t="shared" si="23"/>
        <v/>
      </c>
      <c r="AW24" s="159" t="str">
        <f t="shared" si="5"/>
        <v/>
      </c>
      <c r="AX24" s="160" t="str">
        <f t="shared" si="6"/>
        <v/>
      </c>
      <c r="AY24" s="161">
        <f t="shared" si="7"/>
        <v>0</v>
      </c>
      <c r="AZ24" s="161">
        <f t="shared" si="8"/>
        <v>0</v>
      </c>
    </row>
    <row r="25" spans="2:52" ht="35.15" customHeight="1">
      <c r="B25" s="799"/>
      <c r="C25" s="411" t="s">
        <v>154</v>
      </c>
      <c r="D25" s="162" t="str">
        <f t="shared" si="16"/>
        <v/>
      </c>
      <c r="E25" s="163">
        <f>IF(K25=0,0,COUNTIF(気管支鏡!$D$30:$D$74,"設備"))</f>
        <v>0</v>
      </c>
      <c r="F25" s="172">
        <v>5500000</v>
      </c>
      <c r="G25" s="172">
        <f t="shared" si="17"/>
        <v>0</v>
      </c>
      <c r="H25" s="162" t="str">
        <f t="shared" si="18"/>
        <v/>
      </c>
      <c r="I25" s="232">
        <f t="shared" si="19"/>
        <v>0</v>
      </c>
      <c r="J25" s="166">
        <f t="shared" si="20"/>
        <v>0</v>
      </c>
      <c r="K25" s="172">
        <f>気管支鏡!J3</f>
        <v>0</v>
      </c>
      <c r="L25" s="173" t="s">
        <v>574</v>
      </c>
      <c r="M25" s="174"/>
      <c r="N25" s="175" t="s">
        <v>89</v>
      </c>
      <c r="O25" s="174"/>
      <c r="P25" s="175" t="s">
        <v>90</v>
      </c>
      <c r="Q25" s="174"/>
      <c r="R25" s="176" t="s">
        <v>91</v>
      </c>
      <c r="U25" s="127" t="str">
        <f>IF(COUNTIF(AT23:AT28,"【要修正】型番、数量、単価（税込）の一部欄のみ入力されています。申請する場合は黄色セルを全て入力してください。")&gt;=1,"入力されていない箇所があります。",IF(COUNTIF(AT23:AT28,"申請しない場合は黄色セル入力不要です。")=9,"",IF(COUNTIF(AT23:AT28,"【要修正】型番、数量、単価（税込）の一部欄のみ入力されています。申請する場合は黄色セルを全て入力してください。")&gt;=1,"入力されていない箇所があります。","申請額が正しく表示されました。")))</f>
        <v>申請額が正しく表示されました。</v>
      </c>
      <c r="AA25" s="177" t="b">
        <f>IF(AT25="【要修正】《個人防護具のシートをご確認ください》"&amp;CHAR(10)&amp;"員数、防護具情報の入力に不足有","×",IF(AT25="【要修正】《個人防護具のシートをご確認ください》本シートで納品の日付が入力されていますが、個人防護具の申請情報が未入力となっています。","×",IF(AT25="【要修正】《個人防護具のシートをご確認ください》"&amp;CHAR(10)&amp;"員数情報が入力されていません。","×",IF(AT25="【要修正】《個人防護具のシートをご確認ください》"&amp;CHAR(10)&amp;"個人防護具の情報が適切に入力されていない箇所があります。","×",IF(AT25="【要修正】《個人防護具のシートをご確認ください》"&amp;CHAR(10)&amp;"個人防護具の情報が入力されていません。","×",IF(AT25="必要情報が全て入力されました。","○",IF(AT25="【要修正】《個人防護具のシートをご確認ください》"&amp;CHAR(10)&amp;"員数、防護具情報の入力に不足が有ります。"&amp;CHAR(10)&amp;"本シート中、納品予定日の日付が未記入となっています。","×",IF(AT25="申請しない場合は個人防護具シートの入力は不要です。","○",IF(AT25="【要修正】《個人防護具のシートをご確認ください》"&amp;CHAR(10)&amp;"員数情報が入力されていません。"&amp;CHAR(10)&amp;"本シート中、納品予定日の日付が未記入となっています。","×",IF(AT25="【要修正】《個人防護具のシートをご確認ください》"&amp;CHAR(10)&amp;"個人防護具の情報が適切に入力されていない箇所があります。"&amp;CHAR(10)&amp;"本シート中、納品予定日の日付が未記入となっています。","×",IF(AT25="【要修正】《個人防護具のシートをご確認ください》"&amp;CHAR(10)&amp;"個人防護具の情報が入力されていません。"&amp;CHAR(10)&amp;"本シート中、納品予定日の日付が未記入となっています。","×",IF(AT25="本シート中、納品予定日の日付が未記入となっています。",IF(AT25="【要修正】《個人防護具のシートをご確認ください》"&amp;CHAR(10)&amp;"員数、防護具情報の入力に不足が有ります。"&amp;CHAR(10)&amp;"本シート中、納品予定の日付が一部しか入力されていません。","×",IF(AT25="【要修正】《個人防護具のシートをご確認ください》個人防護具の申請情報が未入力となっています。"&amp;CHAR(10)&amp;"本シート中、納品予定の日付が一部しか入力されていません。","×",IF(AT25="【要修正】《個人防護具のシートをご確認ください》"&amp;CHAR(10)&amp;"員数情報が入力されていません。"&amp;CHAR(10)&amp;"本シート中、納品予定の日付が一部しか入力されていません。","×",IF(AT25="【要修正】《個人防護具のシートをご確認ください》"&amp;CHAR(10)&amp;"個人防護具の情報が適切に入力されていない箇所があります。"&amp;CHAR(10)&amp;"本シート中、納品予定の日付が一部しか入力されていません。","×",IF(AT25="【要修正】《個人防護具のシートをご確認ください》"&amp;CHAR(10)&amp;"個人防護具の情報が入力されていません。"&amp;CHAR(10)&amp;"本シート中、納品予定の日付が一部しか入力されていません。","×",IF(AT25="【要修正】本シート中、納品予定の日付が一部しか入力されていません。","×"))))))))))))))))))</f>
        <v>0</v>
      </c>
      <c r="AF25" s="154" t="str">
        <f t="shared" si="21"/>
        <v/>
      </c>
      <c r="AG25" s="155" t="str">
        <f t="shared" si="22"/>
        <v/>
      </c>
      <c r="AJ25" s="156" t="str">
        <f>IF(AND(AQ25="◎",AR25="×"),"事業完了予定の日付が入力されているが、個人防護具明細が入力不十分/",
IF(AND(AQ25="◎",AR25="○"),"事業完了予定の日付が入力されているが、個人防護具明細が未入力/",
IF(AND(AQ25="◎",AR25="◎"),"",
IF(AND(AQ25="○",AR25="×"),"個人防護具明細が入力不十分/事業完了予定の日付未入力/",
IF(AND(AQ25="○",AR25="○"),"",
IF(AND(AQ25="○",AR25="◎"),"個人防護具明細が入力されているが事業完了予定の日付未記入/",
IF(AND(AQ25="×",AR25="×"),"個人防護具明細の入力不十分/事業完了予定日付の入力不十分/",
IF(AND(AQ25="×",AR25="○"),"個人防護具明細が未入力/事業完了予定の日付の入力不十分/",
IF(AND(AQ25="×",AR25="◎"),"個人防護具明細が入力されているが事業完了予定の日付の入力不十分")))))))))</f>
        <v/>
      </c>
      <c r="AK25" s="157"/>
      <c r="AP25" s="128" t="s">
        <v>517</v>
      </c>
      <c r="AQ25" s="141" t="str">
        <f t="shared" si="24"/>
        <v>○</v>
      </c>
      <c r="AR25" s="141" t="str">
        <f>初度設備!Z3</f>
        <v>○</v>
      </c>
      <c r="AS25" s="141" t="str">
        <f t="shared" si="25"/>
        <v>○</v>
      </c>
      <c r="AT25" s="158" t="str">
        <f t="shared" si="26"/>
        <v>申請しない場合は入力不要です。</v>
      </c>
      <c r="AU25" s="132" t="str">
        <f t="shared" si="27"/>
        <v>【気管支鏡】</v>
      </c>
      <c r="AV25" s="127" t="str">
        <f t="shared" si="23"/>
        <v/>
      </c>
      <c r="AW25" s="159" t="str">
        <f t="shared" si="5"/>
        <v/>
      </c>
      <c r="AX25" s="160" t="str">
        <f t="shared" si="6"/>
        <v/>
      </c>
      <c r="AY25" s="161">
        <f t="shared" si="7"/>
        <v>0</v>
      </c>
      <c r="AZ25" s="161">
        <f t="shared" si="8"/>
        <v>0</v>
      </c>
    </row>
    <row r="26" spans="2:52" ht="35.15" customHeight="1">
      <c r="B26" s="799"/>
      <c r="C26" s="178" t="s">
        <v>655</v>
      </c>
      <c r="D26" s="233" t="str">
        <f t="shared" si="16"/>
        <v/>
      </c>
      <c r="E26" s="179">
        <f>IF(K26=0,0,COUNTIF(CT撮影装置!$D$30:$D$74,"設備"))</f>
        <v>0</v>
      </c>
      <c r="F26" s="180">
        <v>66000000</v>
      </c>
      <c r="G26" s="180">
        <f t="shared" si="17"/>
        <v>0</v>
      </c>
      <c r="H26" s="181" t="str">
        <f t="shared" si="18"/>
        <v/>
      </c>
      <c r="I26" s="182">
        <f t="shared" si="19"/>
        <v>0</v>
      </c>
      <c r="J26" s="166">
        <f t="shared" si="20"/>
        <v>0</v>
      </c>
      <c r="K26" s="180">
        <f>CT撮影装置!J3</f>
        <v>0</v>
      </c>
      <c r="L26" s="173" t="s">
        <v>574</v>
      </c>
      <c r="M26" s="174"/>
      <c r="N26" s="175" t="s">
        <v>89</v>
      </c>
      <c r="O26" s="174"/>
      <c r="P26" s="175" t="s">
        <v>90</v>
      </c>
      <c r="Q26" s="174"/>
      <c r="R26" s="176" t="s">
        <v>91</v>
      </c>
      <c r="AA26" s="128" t="b">
        <f>IF(AT26="申請しない場合は黄色セル入力不要です。","○",IF(AT26="【要修正】型番、数量、単価（税込）の一部欄のみ入力されています。"&amp;CHAR(10)&amp;"申請する場合は黄色セルを全て入力してください。","×",IF(AT26="必要情報が全て入力されました。","○")))</f>
        <v>0</v>
      </c>
      <c r="AF26" s="154" t="str">
        <f t="shared" si="21"/>
        <v/>
      </c>
      <c r="AG26" s="155" t="str">
        <f t="shared" si="22"/>
        <v/>
      </c>
      <c r="AJ26" s="156" t="str">
        <f>IF(AQ26="×","パーテーション（２行目）の入力項目/","")</f>
        <v/>
      </c>
      <c r="AK26" s="157"/>
      <c r="AP26" s="128" t="s">
        <v>517</v>
      </c>
      <c r="AQ26" s="141" t="str">
        <f t="shared" si="24"/>
        <v>○</v>
      </c>
      <c r="AR26" s="141" t="str">
        <f>初度設備!Z3</f>
        <v>○</v>
      </c>
      <c r="AS26" s="141" t="str">
        <f t="shared" si="25"/>
        <v>○</v>
      </c>
      <c r="AT26" s="158" t="str">
        <f t="shared" si="26"/>
        <v>申請しない場合は入力不要です。</v>
      </c>
      <c r="AU26" s="132" t="str">
        <f t="shared" si="27"/>
        <v>【CT撮影装置等】</v>
      </c>
      <c r="AV26" s="127" t="str">
        <f t="shared" si="23"/>
        <v/>
      </c>
      <c r="AW26" s="159" t="str">
        <f t="shared" si="5"/>
        <v/>
      </c>
      <c r="AX26" s="160" t="str">
        <f t="shared" si="6"/>
        <v/>
      </c>
      <c r="AY26" s="161">
        <f t="shared" si="7"/>
        <v>0</v>
      </c>
      <c r="AZ26" s="161">
        <f t="shared" si="8"/>
        <v>0</v>
      </c>
    </row>
    <row r="27" spans="2:52" ht="35.15" customHeight="1">
      <c r="B27" s="799"/>
      <c r="C27" s="411" t="s">
        <v>588</v>
      </c>
      <c r="D27" s="162" t="str">
        <f t="shared" si="16"/>
        <v/>
      </c>
      <c r="E27" s="234">
        <f>IF(K27=0,0,COUNTIF(生体情報モニタ!$D$30:$D$74,"設備"))</f>
        <v>0</v>
      </c>
      <c r="F27" s="172">
        <v>1100000</v>
      </c>
      <c r="G27" s="172">
        <f t="shared" si="17"/>
        <v>0</v>
      </c>
      <c r="H27" s="202" t="str">
        <f t="shared" si="18"/>
        <v/>
      </c>
      <c r="I27" s="234">
        <f t="shared" si="19"/>
        <v>0</v>
      </c>
      <c r="J27" s="166">
        <f t="shared" si="20"/>
        <v>0</v>
      </c>
      <c r="K27" s="172">
        <f>生体情報モニタ!J3</f>
        <v>0</v>
      </c>
      <c r="L27" s="167" t="s">
        <v>574</v>
      </c>
      <c r="M27" s="168"/>
      <c r="N27" s="169" t="s">
        <v>89</v>
      </c>
      <c r="O27" s="168"/>
      <c r="P27" s="169" t="s">
        <v>90</v>
      </c>
      <c r="Q27" s="168"/>
      <c r="R27" s="170" t="s">
        <v>91</v>
      </c>
      <c r="AA27" s="128" t="b">
        <f>IF(AT27="申請しない場合は黄色セル入力不要です。","○",IF(AT27="【要修正】型番、数量、単価（税込）の一部欄のみ入力されています。"&amp;CHAR(10)&amp;"申請する場合は黄色セルを全て入力してください。","×",IF(AT27="必要情報が全て入力されました。","○")))</f>
        <v>0</v>
      </c>
      <c r="AF27" s="154" t="str">
        <f t="shared" si="21"/>
        <v/>
      </c>
      <c r="AG27" s="155" t="str">
        <f t="shared" si="22"/>
        <v/>
      </c>
      <c r="AJ27" s="156" t="str">
        <f>IF(AQ27="×","簡易ベッド（１行目）の入力項目/","")</f>
        <v/>
      </c>
      <c r="AK27" s="157"/>
      <c r="AP27" s="128" t="s">
        <v>517</v>
      </c>
      <c r="AQ27" s="141" t="str">
        <f t="shared" si="24"/>
        <v>○</v>
      </c>
      <c r="AR27" s="141" t="str">
        <f>初度設備!Z3</f>
        <v>○</v>
      </c>
      <c r="AS27" s="141" t="str">
        <f t="shared" si="25"/>
        <v>○</v>
      </c>
      <c r="AT27" s="158" t="str">
        <f t="shared" si="26"/>
        <v>申請しない場合は入力不要です。</v>
      </c>
      <c r="AU27" s="132" t="str">
        <f t="shared" si="27"/>
        <v>【生体情報モニタ】</v>
      </c>
      <c r="AV27" s="127" t="str">
        <f t="shared" si="23"/>
        <v/>
      </c>
      <c r="AW27" s="159" t="str">
        <f t="shared" si="5"/>
        <v/>
      </c>
      <c r="AX27" s="160" t="str">
        <f t="shared" si="6"/>
        <v/>
      </c>
      <c r="AY27" s="161">
        <f t="shared" si="7"/>
        <v>0</v>
      </c>
      <c r="AZ27" s="161">
        <f t="shared" si="8"/>
        <v>0</v>
      </c>
    </row>
    <row r="28" spans="2:52" ht="35.15" customHeight="1">
      <c r="B28" s="799"/>
      <c r="C28" s="411" t="s">
        <v>163</v>
      </c>
      <c r="D28" s="162" t="str">
        <f t="shared" si="16"/>
        <v/>
      </c>
      <c r="E28" s="201">
        <f>IF(K28=0,0,COUNTIF(分娩監視装置!$D$30:$D$74,"設備"))</f>
        <v>0</v>
      </c>
      <c r="F28" s="172">
        <v>2200000</v>
      </c>
      <c r="G28" s="172">
        <f t="shared" si="17"/>
        <v>0</v>
      </c>
      <c r="H28" s="202" t="str">
        <f t="shared" si="18"/>
        <v/>
      </c>
      <c r="I28" s="234">
        <f t="shared" si="19"/>
        <v>0</v>
      </c>
      <c r="J28" s="166">
        <f t="shared" si="20"/>
        <v>0</v>
      </c>
      <c r="K28" s="172">
        <f>分娩監視装置!J3</f>
        <v>0</v>
      </c>
      <c r="L28" s="167" t="s">
        <v>574</v>
      </c>
      <c r="M28" s="168"/>
      <c r="N28" s="169" t="s">
        <v>89</v>
      </c>
      <c r="O28" s="168"/>
      <c r="P28" s="169" t="s">
        <v>90</v>
      </c>
      <c r="Q28" s="168"/>
      <c r="R28" s="170" t="s">
        <v>91</v>
      </c>
      <c r="AA28" s="128" t="b">
        <f>IF(AT28="申請しない場合は黄色セル入力不要です。","○",IF(AT28="【要修正】型番、数量、単価（税込）の一部欄のみ入力されています。"&amp;CHAR(10)&amp;"申請する場合は黄色セルを全て入力してください。","×",IF(AT28="必要情報が全て入力されました。","○")))</f>
        <v>0</v>
      </c>
      <c r="AF28" s="154" t="str">
        <f t="shared" si="21"/>
        <v/>
      </c>
      <c r="AG28" s="155" t="str">
        <f t="shared" si="22"/>
        <v/>
      </c>
      <c r="AJ28" s="156" t="str">
        <f>IF(AQ28="×","パーテーション（３行目）の入力項目/","")</f>
        <v/>
      </c>
      <c r="AK28" s="157"/>
      <c r="AP28" s="128" t="s">
        <v>517</v>
      </c>
      <c r="AQ28" s="141" t="str">
        <f t="shared" si="24"/>
        <v>○</v>
      </c>
      <c r="AR28" s="141" t="str">
        <f>初度設備!Z3</f>
        <v>○</v>
      </c>
      <c r="AS28" s="141" t="str">
        <f t="shared" si="25"/>
        <v>○</v>
      </c>
      <c r="AT28" s="158" t="str">
        <f t="shared" si="26"/>
        <v>申請しない場合は入力不要です。</v>
      </c>
      <c r="AU28" s="132" t="str">
        <f t="shared" si="27"/>
        <v>【分娩監視装置】</v>
      </c>
      <c r="AV28" s="127" t="str">
        <f t="shared" si="23"/>
        <v/>
      </c>
      <c r="AW28" s="159" t="str">
        <f t="shared" si="5"/>
        <v/>
      </c>
      <c r="AX28" s="160" t="str">
        <f t="shared" si="6"/>
        <v/>
      </c>
      <c r="AY28" s="161">
        <f t="shared" si="7"/>
        <v>0</v>
      </c>
      <c r="AZ28" s="161">
        <f t="shared" si="8"/>
        <v>0</v>
      </c>
    </row>
    <row r="29" spans="2:52" ht="35.15" customHeight="1" thickBot="1">
      <c r="B29" s="800"/>
      <c r="C29" s="235" t="s">
        <v>166</v>
      </c>
      <c r="D29" s="236" t="str">
        <f t="shared" si="16"/>
        <v/>
      </c>
      <c r="E29" s="237">
        <f>IF(K29=0,0,COUNTIF(新生児モニタ!$D$30:$D$74,"設備"))</f>
        <v>0</v>
      </c>
      <c r="F29" s="238">
        <v>1100000</v>
      </c>
      <c r="G29" s="238">
        <f t="shared" si="17"/>
        <v>0</v>
      </c>
      <c r="H29" s="239" t="str">
        <f t="shared" si="18"/>
        <v/>
      </c>
      <c r="I29" s="240">
        <f t="shared" si="19"/>
        <v>0</v>
      </c>
      <c r="J29" s="166">
        <f t="shared" si="20"/>
        <v>0</v>
      </c>
      <c r="K29" s="238">
        <f>新生児モニタ!J3</f>
        <v>0</v>
      </c>
      <c r="L29" s="241" t="s">
        <v>574</v>
      </c>
      <c r="M29" s="242"/>
      <c r="N29" s="243" t="s">
        <v>89</v>
      </c>
      <c r="O29" s="242"/>
      <c r="P29" s="243" t="s">
        <v>90</v>
      </c>
      <c r="Q29" s="242"/>
      <c r="R29" s="244" t="s">
        <v>91</v>
      </c>
      <c r="AA29" s="128" t="b">
        <f>IF(AT29="規格、数量、単価の入力に不足有","×",IF(AT29="簡易診療室の補助申請をしない場合は可","○",IF(AT29="必要情報が全て入力されました。","○")))</f>
        <v>0</v>
      </c>
      <c r="AF29" s="154" t="str">
        <f t="shared" si="21"/>
        <v/>
      </c>
      <c r="AG29" s="155" t="str">
        <f t="shared" si="22"/>
        <v/>
      </c>
      <c r="AJ29" s="156" t="str">
        <f xml:space="preserve">
IF(AND(AQ29="◎",AR29="×"),"様式１－２に事業完了予定の日付が入力されているが、「簡易診療室明細」が入力不十分です。/",
IF(AND(AQ29="◎",AR29="○"),"様式１－２に事業完了予定の日付が入力されているが、「簡易診療室明細」が未入力。/",
IF(AND(AQ29="◎",AR29="◎"),"",
IF(AND(AQ29="○",AR29="×"),"様式１－２に事業完了予定の日付が未入力、「簡易診療室明細」が入力不十分。/",
IF(AND(AQ29="○",AR29="○"),"",
IF(AND(AQ29="○",AR29="◎"),"【要修正】「簡易診療室明細」が入力されているが、本シートに事業完了予定の日付が未入力。/",
IF(AND(AQ29="×",AR29="×"),"様式１－２及び「簡易診療室明細」の入力がいずれも不十分。/",
IF(AND(AQ29="×",AR29="○"),"様式１－２に事業完了予定の日付が入力不十分、「簡易診療室明細」が未入力。/",
IF(AND(AQ29="×",AR29="◎"),"【要修正】「簡易診療室明細」が入力されているが、本シートに事業完了予定の日付が入力不十分。/")))))))))</f>
        <v/>
      </c>
      <c r="AK29" s="157"/>
      <c r="AP29" s="128" t="s">
        <v>517</v>
      </c>
      <c r="AQ29" s="141" t="str">
        <f t="shared" si="24"/>
        <v>○</v>
      </c>
      <c r="AR29" s="141" t="str">
        <f>初度設備!Z3</f>
        <v>○</v>
      </c>
      <c r="AS29" s="141" t="str">
        <f t="shared" si="25"/>
        <v>○</v>
      </c>
      <c r="AT29" s="158" t="str">
        <f t="shared" si="26"/>
        <v>申請しない場合は入力不要です。</v>
      </c>
      <c r="AU29" s="132" t="str">
        <f t="shared" si="27"/>
        <v>【新生児モニタ】</v>
      </c>
      <c r="AV29" s="127" t="str">
        <f t="shared" si="23"/>
        <v/>
      </c>
      <c r="AW29" s="159" t="str">
        <f t="shared" si="5"/>
        <v/>
      </c>
      <c r="AX29" s="160" t="str">
        <f t="shared" si="6"/>
        <v/>
      </c>
      <c r="AY29" s="161">
        <f t="shared" si="7"/>
        <v>0</v>
      </c>
      <c r="AZ29" s="161">
        <f t="shared" si="8"/>
        <v>0</v>
      </c>
    </row>
    <row r="30" spans="2:52" ht="35.15" customHeight="1" thickTop="1" thickBot="1">
      <c r="B30" s="221" t="s">
        <v>583</v>
      </c>
      <c r="C30" s="222"/>
      <c r="D30" s="223"/>
      <c r="E30" s="224"/>
      <c r="F30" s="225"/>
      <c r="G30" s="226">
        <f>SUM(G23:G29)</f>
        <v>0</v>
      </c>
      <c r="H30" s="245"/>
      <c r="I30" s="224"/>
      <c r="J30" s="228"/>
      <c r="K30" s="229">
        <f>SUM(K23:K29)</f>
        <v>0</v>
      </c>
      <c r="L30" s="793"/>
      <c r="M30" s="794"/>
      <c r="N30" s="794"/>
      <c r="O30" s="794"/>
      <c r="P30" s="794"/>
      <c r="Q30" s="794"/>
      <c r="R30" s="795"/>
      <c r="AS30" s="127">
        <f>COUNTIF(AS7:AS18,"○")</f>
        <v>12</v>
      </c>
    </row>
    <row r="31" spans="2:52" ht="35.15" customHeight="1" thickBot="1">
      <c r="B31" s="246"/>
      <c r="C31" s="247"/>
      <c r="D31" s="247"/>
      <c r="E31" s="248"/>
      <c r="F31" s="248"/>
      <c r="G31" s="249">
        <f>SUM(G30,G22)</f>
        <v>0</v>
      </c>
      <c r="H31" s="248"/>
      <c r="I31" s="248"/>
      <c r="J31" s="248"/>
      <c r="K31" s="249">
        <f>SUM(K30,K22)</f>
        <v>0</v>
      </c>
      <c r="L31" s="247"/>
      <c r="M31" s="247"/>
      <c r="N31" s="247"/>
      <c r="O31" s="247"/>
      <c r="P31" s="247"/>
      <c r="Q31" s="247"/>
      <c r="R31" s="250"/>
    </row>
    <row r="32" spans="2:52" ht="38.15" customHeight="1"/>
    <row r="33" ht="38.15" customHeight="1"/>
    <row r="34" ht="38.15" customHeight="1"/>
  </sheetData>
  <sheetProtection algorithmName="SHA-512" hashValue="4w6XMHjcChmgcJXGgfknKsimaDYhX8XZ6tdGGp/pnGKQ5uKmOO8owGns5IcCRBGcIwdKv7OBrxU9GRUWrENW/g==" saltValue="1Hwugb8GpKciPQUNdjUKWA==" spinCount="100000" sheet="1" formatCells="0" formatColumns="0" formatRows="0"/>
  <mergeCells count="29">
    <mergeCell ref="B2:R2"/>
    <mergeCell ref="AQ2:AR3"/>
    <mergeCell ref="AS2:AS3"/>
    <mergeCell ref="AT2:AT3"/>
    <mergeCell ref="O1:R1"/>
    <mergeCell ref="B7:B18"/>
    <mergeCell ref="C11:C14"/>
    <mergeCell ref="C15:C17"/>
    <mergeCell ref="L4:R4"/>
    <mergeCell ref="AF4:AF5"/>
    <mergeCell ref="B4:B5"/>
    <mergeCell ref="C4:C5"/>
    <mergeCell ref="D4:D5"/>
    <mergeCell ref="E4:G4"/>
    <mergeCell ref="H4:K4"/>
    <mergeCell ref="L30:R30"/>
    <mergeCell ref="AT4:AT5"/>
    <mergeCell ref="L5:N5"/>
    <mergeCell ref="O5:P5"/>
    <mergeCell ref="Q5:R5"/>
    <mergeCell ref="AG4:AG5"/>
    <mergeCell ref="AQ4:AQ5"/>
    <mergeCell ref="AR4:AR5"/>
    <mergeCell ref="AS4:AS5"/>
    <mergeCell ref="B19:B21"/>
    <mergeCell ref="C19:C21"/>
    <mergeCell ref="L22:R22"/>
    <mergeCell ref="AJ22:AL22"/>
    <mergeCell ref="B23:B29"/>
  </mergeCells>
  <phoneticPr fontId="5"/>
  <conditionalFormatting sqref="E8 E10 E15:E17">
    <cfRule type="expression" dxfId="84" priority="23">
      <formula>E8=""</formula>
    </cfRule>
  </conditionalFormatting>
  <conditionalFormatting sqref="E14">
    <cfRule type="expression" dxfId="83" priority="19">
      <formula>E14=""</formula>
    </cfRule>
  </conditionalFormatting>
  <conditionalFormatting sqref="E11">
    <cfRule type="expression" dxfId="82" priority="22">
      <formula>E11=""</formula>
    </cfRule>
  </conditionalFormatting>
  <conditionalFormatting sqref="E12">
    <cfRule type="expression" dxfId="81" priority="21">
      <formula>E12=""</formula>
    </cfRule>
  </conditionalFormatting>
  <conditionalFormatting sqref="E13">
    <cfRule type="expression" dxfId="80" priority="20">
      <formula>E13=""</formula>
    </cfRule>
  </conditionalFormatting>
  <conditionalFormatting sqref="AT7:AT21 AT23:AT29">
    <cfRule type="containsText" dxfId="79" priority="14" operator="containsText" text="【要修正】">
      <formula>NOT(ISERROR(SEARCH("【要修正】",AT7)))</formula>
    </cfRule>
    <cfRule type="cellIs" dxfId="78" priority="18" operator="equal">
      <formula>"型番、数量、単価（税込）の一部欄のみ入力されています。申請する場合は黄色セルを全て入力してください。"</formula>
    </cfRule>
  </conditionalFormatting>
  <conditionalFormatting sqref="AT7:AT21 AT23:AT29">
    <cfRule type="containsText" dxfId="77" priority="15" operator="containsText" text="一部欄">
      <formula>NOT(ISERROR(SEARCH("一部欄",AT7)))</formula>
    </cfRule>
    <cfRule type="cellIs" dxfId="76" priority="16" operator="equal">
      <formula>"型番、数量、単価（税込）の一部欄のみ入力されています。申請する場合は黄色セルを全て入力してください。"</formula>
    </cfRule>
    <cfRule type="cellIs" dxfId="75" priority="17" operator="equal">
      <formula>"型番、数量、単価（税込）の一部欄のみ入力されています。申請する場合は黄色セルを全て入力してください。"</formula>
    </cfRule>
  </conditionalFormatting>
  <conditionalFormatting sqref="AS2 AQ23:AS29 AQ7:AS18">
    <cfRule type="containsText" dxfId="74" priority="13" operator="containsText" text="×">
      <formula>NOT(ISERROR(SEARCH("×",AQ2)))</formula>
    </cfRule>
  </conditionalFormatting>
  <conditionalFormatting sqref="AT2:AT3">
    <cfRule type="containsText" dxfId="73" priority="12" operator="containsText" text="要修正">
      <formula>NOT(ISERROR(SEARCH("要修正",AT2)))</formula>
    </cfRule>
  </conditionalFormatting>
  <conditionalFormatting sqref="E28 E24:E26">
    <cfRule type="expression" dxfId="72" priority="11">
      <formula>E24=""</formula>
    </cfRule>
  </conditionalFormatting>
  <conditionalFormatting sqref="E27">
    <cfRule type="expression" dxfId="71" priority="10">
      <formula>E27=""</formula>
    </cfRule>
  </conditionalFormatting>
  <conditionalFormatting sqref="E29">
    <cfRule type="expression" dxfId="70" priority="9">
      <formula>E29=""</formula>
    </cfRule>
  </conditionalFormatting>
  <conditionalFormatting sqref="E21">
    <cfRule type="expression" dxfId="69" priority="7">
      <formula>E21=""</formula>
    </cfRule>
  </conditionalFormatting>
  <conditionalFormatting sqref="E19:E20">
    <cfRule type="expression" dxfId="68" priority="8">
      <formula>E19=""</formula>
    </cfRule>
  </conditionalFormatting>
  <conditionalFormatting sqref="AQ19:AS21">
    <cfRule type="containsText" dxfId="67" priority="1" operator="containsText" text="×">
      <formula>NOT(ISERROR(SEARCH("×",AQ19)))</formula>
    </cfRule>
  </conditionalFormatting>
  <dataValidations xWindow="1456" yWindow="826" count="9">
    <dataValidation allowBlank="1" showInputMessage="1" showErrorMessage="1" promptTitle="自動で表示されます。" prompt="当該欄は、左の黄色の欄「数量」及び「単価」を入力すると自動計算で表示されます。" sqref="K26:K29 K23:K24 K7:K21" xr:uid="{00000000-0002-0000-0B00-000001000000}"/>
    <dataValidation allowBlank="1" showInputMessage="1" showErrorMessage="1" promptTitle="自動で表示されます。" prompt="当該欄は、左の黄色の欄「型番」に入力された名称が自動で表示されます。" sqref="H7:H8 H10:H21 H23:H24 H26:H29" xr:uid="{00000000-0002-0000-0B00-000002000000}"/>
    <dataValidation allowBlank="1" showInputMessage="1" showErrorMessage="1" promptTitle="自動で表示されます。" prompt="当該欄は、右の「対象経費支出予定額」の黄色の欄「数量」及び「単価」を入力すると自動計算で表示されます。" sqref="E7:G8 E26:G29 E23:G24 E25 E10:G21" xr:uid="{00000000-0002-0000-0B00-000003000000}"/>
    <dataValidation allowBlank="1" showInputMessage="1" showErrorMessage="1" promptTitle="型番を入力" prompt="購入する備品の型番を入力してください。（型番が２種以上の場合に入力。１種のみの場合は最上段の黄色セルに型番、数量等を入力するようにしてください。）" sqref="D12:D17 D19:D21" xr:uid="{00000000-0002-0000-0B00-000004000000}"/>
    <dataValidation allowBlank="1" showInputMessage="1" showErrorMessage="1" promptTitle="型番を入力" prompt="購入する備品の型番を入力してください。" sqref="D11" xr:uid="{00000000-0002-0000-0B00-000005000000}"/>
    <dataValidation allowBlank="1" showInputMessage="1" showErrorMessage="1" promptTitle="【１施設１台まで補助】型番を入力" prompt="購入する空気清浄機の型番を入力してください。" sqref="D7" xr:uid="{00000000-0002-0000-0B00-000006000000}"/>
    <dataValidation allowBlank="1" showInputMessage="1" showErrorMessage="1" promptTitle="数量を入力" prompt="購入（またはリース）の数量を入力してください。" sqref="I26:I29 I23:I24 I7:I21" xr:uid="{00000000-0002-0000-0B00-000007000000}"/>
    <dataValidation allowBlank="1" showInputMessage="1" showErrorMessage="1" promptTitle="税込金額を入力" prompt="数量１あたりの税込金額を入力してください。" sqref="J7:J21 J23:J29" xr:uid="{00000000-0002-0000-0B00-000008000000}"/>
    <dataValidation allowBlank="1" showInputMessage="1" showErrorMessage="1" promptTitle="事業完了予定の年月日を入力" prompt="事業完了の予定日（それぞれの品目毎での最終納品の日付）を入力してください。" sqref="M23:M29 O23:O29 Q23:Q29 Q7:Q21 O7:O21 M7:M21" xr:uid="{D7F558C4-EE8F-49D2-B5F6-99FA6F880C76}"/>
  </dataValidations>
  <printOptions horizontalCentered="1"/>
  <pageMargins left="0.59055118110236227" right="0.39370078740157483" top="0.59055118110236227" bottom="0.39370078740157483" header="0.31496062992125984" footer="0.31496062992125984"/>
  <pageSetup paperSize="9" scale="45"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44"/>
  <sheetViews>
    <sheetView showGridLines="0" view="pageBreakPreview" zoomScale="60" zoomScaleNormal="60" workbookViewId="0">
      <selection activeCell="D7" sqref="D7:D17"/>
    </sheetView>
  </sheetViews>
  <sheetFormatPr defaultRowHeight="18"/>
  <cols>
    <col min="1" max="1" width="12.5" style="373" customWidth="1"/>
    <col min="2" max="4" width="10.58203125" style="373" customWidth="1"/>
    <col min="5" max="7" width="12.58203125" style="373" customWidth="1"/>
    <col min="8" max="8" width="9" style="373"/>
    <col min="9" max="9" width="11.58203125" style="373" bestFit="1" customWidth="1"/>
    <col min="10" max="256" width="9" style="373"/>
    <col min="257" max="257" width="12.5" style="373" customWidth="1"/>
    <col min="258" max="260" width="10.58203125" style="373" customWidth="1"/>
    <col min="261" max="263" width="12.58203125" style="373" customWidth="1"/>
    <col min="264" max="264" width="9" style="373"/>
    <col min="265" max="265" width="11.58203125" style="373" bestFit="1" customWidth="1"/>
    <col min="266" max="512" width="9" style="373"/>
    <col min="513" max="513" width="12.5" style="373" customWidth="1"/>
    <col min="514" max="516" width="10.58203125" style="373" customWidth="1"/>
    <col min="517" max="519" width="12.58203125" style="373" customWidth="1"/>
    <col min="520" max="520" width="9" style="373"/>
    <col min="521" max="521" width="11.58203125" style="373" bestFit="1" customWidth="1"/>
    <col min="522" max="768" width="9" style="373"/>
    <col min="769" max="769" width="12.5" style="373" customWidth="1"/>
    <col min="770" max="772" width="10.58203125" style="373" customWidth="1"/>
    <col min="773" max="775" width="12.58203125" style="373" customWidth="1"/>
    <col min="776" max="776" width="9" style="373"/>
    <col min="777" max="777" width="11.58203125" style="373" bestFit="1" customWidth="1"/>
    <col min="778" max="1024" width="9" style="373"/>
    <col min="1025" max="1025" width="12.5" style="373" customWidth="1"/>
    <col min="1026" max="1028" width="10.58203125" style="373" customWidth="1"/>
    <col min="1029" max="1031" width="12.58203125" style="373" customWidth="1"/>
    <col min="1032" max="1032" width="9" style="373"/>
    <col min="1033" max="1033" width="11.58203125" style="373" bestFit="1" customWidth="1"/>
    <col min="1034" max="1280" width="9" style="373"/>
    <col min="1281" max="1281" width="12.5" style="373" customWidth="1"/>
    <col min="1282" max="1284" width="10.58203125" style="373" customWidth="1"/>
    <col min="1285" max="1287" width="12.58203125" style="373" customWidth="1"/>
    <col min="1288" max="1288" width="9" style="373"/>
    <col min="1289" max="1289" width="11.58203125" style="373" bestFit="1" customWidth="1"/>
    <col min="1290" max="1536" width="9" style="373"/>
    <col min="1537" max="1537" width="12.5" style="373" customWidth="1"/>
    <col min="1538" max="1540" width="10.58203125" style="373" customWidth="1"/>
    <col min="1541" max="1543" width="12.58203125" style="373" customWidth="1"/>
    <col min="1544" max="1544" width="9" style="373"/>
    <col min="1545" max="1545" width="11.58203125" style="373" bestFit="1" customWidth="1"/>
    <col min="1546" max="1792" width="9" style="373"/>
    <col min="1793" max="1793" width="12.5" style="373" customWidth="1"/>
    <col min="1794" max="1796" width="10.58203125" style="373" customWidth="1"/>
    <col min="1797" max="1799" width="12.58203125" style="373" customWidth="1"/>
    <col min="1800" max="1800" width="9" style="373"/>
    <col min="1801" max="1801" width="11.58203125" style="373" bestFit="1" customWidth="1"/>
    <col min="1802" max="2048" width="9" style="373"/>
    <col min="2049" max="2049" width="12.5" style="373" customWidth="1"/>
    <col min="2050" max="2052" width="10.58203125" style="373" customWidth="1"/>
    <col min="2053" max="2055" width="12.58203125" style="373" customWidth="1"/>
    <col min="2056" max="2056" width="9" style="373"/>
    <col min="2057" max="2057" width="11.58203125" style="373" bestFit="1" customWidth="1"/>
    <col min="2058" max="2304" width="9" style="373"/>
    <col min="2305" max="2305" width="12.5" style="373" customWidth="1"/>
    <col min="2306" max="2308" width="10.58203125" style="373" customWidth="1"/>
    <col min="2309" max="2311" width="12.58203125" style="373" customWidth="1"/>
    <col min="2312" max="2312" width="9" style="373"/>
    <col min="2313" max="2313" width="11.58203125" style="373" bestFit="1" customWidth="1"/>
    <col min="2314" max="2560" width="9" style="373"/>
    <col min="2561" max="2561" width="12.5" style="373" customWidth="1"/>
    <col min="2562" max="2564" width="10.58203125" style="373" customWidth="1"/>
    <col min="2565" max="2567" width="12.58203125" style="373" customWidth="1"/>
    <col min="2568" max="2568" width="9" style="373"/>
    <col min="2569" max="2569" width="11.58203125" style="373" bestFit="1" customWidth="1"/>
    <col min="2570" max="2816" width="9" style="373"/>
    <col min="2817" max="2817" width="12.5" style="373" customWidth="1"/>
    <col min="2818" max="2820" width="10.58203125" style="373" customWidth="1"/>
    <col min="2821" max="2823" width="12.58203125" style="373" customWidth="1"/>
    <col min="2824" max="2824" width="9" style="373"/>
    <col min="2825" max="2825" width="11.58203125" style="373" bestFit="1" customWidth="1"/>
    <col min="2826" max="3072" width="9" style="373"/>
    <col min="3073" max="3073" width="12.5" style="373" customWidth="1"/>
    <col min="3074" max="3076" width="10.58203125" style="373" customWidth="1"/>
    <col min="3077" max="3079" width="12.58203125" style="373" customWidth="1"/>
    <col min="3080" max="3080" width="9" style="373"/>
    <col min="3081" max="3081" width="11.58203125" style="373" bestFit="1" customWidth="1"/>
    <col min="3082" max="3328" width="9" style="373"/>
    <col min="3329" max="3329" width="12.5" style="373" customWidth="1"/>
    <col min="3330" max="3332" width="10.58203125" style="373" customWidth="1"/>
    <col min="3333" max="3335" width="12.58203125" style="373" customWidth="1"/>
    <col min="3336" max="3336" width="9" style="373"/>
    <col min="3337" max="3337" width="11.58203125" style="373" bestFit="1" customWidth="1"/>
    <col min="3338" max="3584" width="9" style="373"/>
    <col min="3585" max="3585" width="12.5" style="373" customWidth="1"/>
    <col min="3586" max="3588" width="10.58203125" style="373" customWidth="1"/>
    <col min="3589" max="3591" width="12.58203125" style="373" customWidth="1"/>
    <col min="3592" max="3592" width="9" style="373"/>
    <col min="3593" max="3593" width="11.58203125" style="373" bestFit="1" customWidth="1"/>
    <col min="3594" max="3840" width="9" style="373"/>
    <col min="3841" max="3841" width="12.5" style="373" customWidth="1"/>
    <col min="3842" max="3844" width="10.58203125" style="373" customWidth="1"/>
    <col min="3845" max="3847" width="12.58203125" style="373" customWidth="1"/>
    <col min="3848" max="3848" width="9" style="373"/>
    <col min="3849" max="3849" width="11.58203125" style="373" bestFit="1" customWidth="1"/>
    <col min="3850" max="4096" width="9" style="373"/>
    <col min="4097" max="4097" width="12.5" style="373" customWidth="1"/>
    <col min="4098" max="4100" width="10.58203125" style="373" customWidth="1"/>
    <col min="4101" max="4103" width="12.58203125" style="373" customWidth="1"/>
    <col min="4104" max="4104" width="9" style="373"/>
    <col min="4105" max="4105" width="11.58203125" style="373" bestFit="1" customWidth="1"/>
    <col min="4106" max="4352" width="9" style="373"/>
    <col min="4353" max="4353" width="12.5" style="373" customWidth="1"/>
    <col min="4354" max="4356" width="10.58203125" style="373" customWidth="1"/>
    <col min="4357" max="4359" width="12.58203125" style="373" customWidth="1"/>
    <col min="4360" max="4360" width="9" style="373"/>
    <col min="4361" max="4361" width="11.58203125" style="373" bestFit="1" customWidth="1"/>
    <col min="4362" max="4608" width="9" style="373"/>
    <col min="4609" max="4609" width="12.5" style="373" customWidth="1"/>
    <col min="4610" max="4612" width="10.58203125" style="373" customWidth="1"/>
    <col min="4613" max="4615" width="12.58203125" style="373" customWidth="1"/>
    <col min="4616" max="4616" width="9" style="373"/>
    <col min="4617" max="4617" width="11.58203125" style="373" bestFit="1" customWidth="1"/>
    <col min="4618" max="4864" width="9" style="373"/>
    <col min="4865" max="4865" width="12.5" style="373" customWidth="1"/>
    <col min="4866" max="4868" width="10.58203125" style="373" customWidth="1"/>
    <col min="4869" max="4871" width="12.58203125" style="373" customWidth="1"/>
    <col min="4872" max="4872" width="9" style="373"/>
    <col min="4873" max="4873" width="11.58203125" style="373" bestFit="1" customWidth="1"/>
    <col min="4874" max="5120" width="9" style="373"/>
    <col min="5121" max="5121" width="12.5" style="373" customWidth="1"/>
    <col min="5122" max="5124" width="10.58203125" style="373" customWidth="1"/>
    <col min="5125" max="5127" width="12.58203125" style="373" customWidth="1"/>
    <col min="5128" max="5128" width="9" style="373"/>
    <col min="5129" max="5129" width="11.58203125" style="373" bestFit="1" customWidth="1"/>
    <col min="5130" max="5376" width="9" style="373"/>
    <col min="5377" max="5377" width="12.5" style="373" customWidth="1"/>
    <col min="5378" max="5380" width="10.58203125" style="373" customWidth="1"/>
    <col min="5381" max="5383" width="12.58203125" style="373" customWidth="1"/>
    <col min="5384" max="5384" width="9" style="373"/>
    <col min="5385" max="5385" width="11.58203125" style="373" bestFit="1" customWidth="1"/>
    <col min="5386" max="5632" width="9" style="373"/>
    <col min="5633" max="5633" width="12.5" style="373" customWidth="1"/>
    <col min="5634" max="5636" width="10.58203125" style="373" customWidth="1"/>
    <col min="5637" max="5639" width="12.58203125" style="373" customWidth="1"/>
    <col min="5640" max="5640" width="9" style="373"/>
    <col min="5641" max="5641" width="11.58203125" style="373" bestFit="1" customWidth="1"/>
    <col min="5642" max="5888" width="9" style="373"/>
    <col min="5889" max="5889" width="12.5" style="373" customWidth="1"/>
    <col min="5890" max="5892" width="10.58203125" style="373" customWidth="1"/>
    <col min="5893" max="5895" width="12.58203125" style="373" customWidth="1"/>
    <col min="5896" max="5896" width="9" style="373"/>
    <col min="5897" max="5897" width="11.58203125" style="373" bestFit="1" customWidth="1"/>
    <col min="5898" max="6144" width="9" style="373"/>
    <col min="6145" max="6145" width="12.5" style="373" customWidth="1"/>
    <col min="6146" max="6148" width="10.58203125" style="373" customWidth="1"/>
    <col min="6149" max="6151" width="12.58203125" style="373" customWidth="1"/>
    <col min="6152" max="6152" width="9" style="373"/>
    <col min="6153" max="6153" width="11.58203125" style="373" bestFit="1" customWidth="1"/>
    <col min="6154" max="6400" width="9" style="373"/>
    <col min="6401" max="6401" width="12.5" style="373" customWidth="1"/>
    <col min="6402" max="6404" width="10.58203125" style="373" customWidth="1"/>
    <col min="6405" max="6407" width="12.58203125" style="373" customWidth="1"/>
    <col min="6408" max="6408" width="9" style="373"/>
    <col min="6409" max="6409" width="11.58203125" style="373" bestFit="1" customWidth="1"/>
    <col min="6410" max="6656" width="9" style="373"/>
    <col min="6657" max="6657" width="12.5" style="373" customWidth="1"/>
    <col min="6658" max="6660" width="10.58203125" style="373" customWidth="1"/>
    <col min="6661" max="6663" width="12.58203125" style="373" customWidth="1"/>
    <col min="6664" max="6664" width="9" style="373"/>
    <col min="6665" max="6665" width="11.58203125" style="373" bestFit="1" customWidth="1"/>
    <col min="6666" max="6912" width="9" style="373"/>
    <col min="6913" max="6913" width="12.5" style="373" customWidth="1"/>
    <col min="6914" max="6916" width="10.58203125" style="373" customWidth="1"/>
    <col min="6917" max="6919" width="12.58203125" style="373" customWidth="1"/>
    <col min="6920" max="6920" width="9" style="373"/>
    <col min="6921" max="6921" width="11.58203125" style="373" bestFit="1" customWidth="1"/>
    <col min="6922" max="7168" width="9" style="373"/>
    <col min="7169" max="7169" width="12.5" style="373" customWidth="1"/>
    <col min="7170" max="7172" width="10.58203125" style="373" customWidth="1"/>
    <col min="7173" max="7175" width="12.58203125" style="373" customWidth="1"/>
    <col min="7176" max="7176" width="9" style="373"/>
    <col min="7177" max="7177" width="11.58203125" style="373" bestFit="1" customWidth="1"/>
    <col min="7178" max="7424" width="9" style="373"/>
    <col min="7425" max="7425" width="12.5" style="373" customWidth="1"/>
    <col min="7426" max="7428" width="10.58203125" style="373" customWidth="1"/>
    <col min="7429" max="7431" width="12.58203125" style="373" customWidth="1"/>
    <col min="7432" max="7432" width="9" style="373"/>
    <col min="7433" max="7433" width="11.58203125" style="373" bestFit="1" customWidth="1"/>
    <col min="7434" max="7680" width="9" style="373"/>
    <col min="7681" max="7681" width="12.5" style="373" customWidth="1"/>
    <col min="7682" max="7684" width="10.58203125" style="373" customWidth="1"/>
    <col min="7685" max="7687" width="12.58203125" style="373" customWidth="1"/>
    <col min="7688" max="7688" width="9" style="373"/>
    <col min="7689" max="7689" width="11.58203125" style="373" bestFit="1" customWidth="1"/>
    <col min="7690" max="7936" width="9" style="373"/>
    <col min="7937" max="7937" width="12.5" style="373" customWidth="1"/>
    <col min="7938" max="7940" width="10.58203125" style="373" customWidth="1"/>
    <col min="7941" max="7943" width="12.58203125" style="373" customWidth="1"/>
    <col min="7944" max="7944" width="9" style="373"/>
    <col min="7945" max="7945" width="11.58203125" style="373" bestFit="1" customWidth="1"/>
    <col min="7946" max="8192" width="9" style="373"/>
    <col min="8193" max="8193" width="12.5" style="373" customWidth="1"/>
    <col min="8194" max="8196" width="10.58203125" style="373" customWidth="1"/>
    <col min="8197" max="8199" width="12.58203125" style="373" customWidth="1"/>
    <col min="8200" max="8200" width="9" style="373"/>
    <col min="8201" max="8201" width="11.58203125" style="373" bestFit="1" customWidth="1"/>
    <col min="8202" max="8448" width="9" style="373"/>
    <col min="8449" max="8449" width="12.5" style="373" customWidth="1"/>
    <col min="8450" max="8452" width="10.58203125" style="373" customWidth="1"/>
    <col min="8453" max="8455" width="12.58203125" style="373" customWidth="1"/>
    <col min="8456" max="8456" width="9" style="373"/>
    <col min="8457" max="8457" width="11.58203125" style="373" bestFit="1" customWidth="1"/>
    <col min="8458" max="8704" width="9" style="373"/>
    <col min="8705" max="8705" width="12.5" style="373" customWidth="1"/>
    <col min="8706" max="8708" width="10.58203125" style="373" customWidth="1"/>
    <col min="8709" max="8711" width="12.58203125" style="373" customWidth="1"/>
    <col min="8712" max="8712" width="9" style="373"/>
    <col min="8713" max="8713" width="11.58203125" style="373" bestFit="1" customWidth="1"/>
    <col min="8714" max="8960" width="9" style="373"/>
    <col min="8961" max="8961" width="12.5" style="373" customWidth="1"/>
    <col min="8962" max="8964" width="10.58203125" style="373" customWidth="1"/>
    <col min="8965" max="8967" width="12.58203125" style="373" customWidth="1"/>
    <col min="8968" max="8968" width="9" style="373"/>
    <col min="8969" max="8969" width="11.58203125" style="373" bestFit="1" customWidth="1"/>
    <col min="8970" max="9216" width="9" style="373"/>
    <col min="9217" max="9217" width="12.5" style="373" customWidth="1"/>
    <col min="9218" max="9220" width="10.58203125" style="373" customWidth="1"/>
    <col min="9221" max="9223" width="12.58203125" style="373" customWidth="1"/>
    <col min="9224" max="9224" width="9" style="373"/>
    <col min="9225" max="9225" width="11.58203125" style="373" bestFit="1" customWidth="1"/>
    <col min="9226" max="9472" width="9" style="373"/>
    <col min="9473" max="9473" width="12.5" style="373" customWidth="1"/>
    <col min="9474" max="9476" width="10.58203125" style="373" customWidth="1"/>
    <col min="9477" max="9479" width="12.58203125" style="373" customWidth="1"/>
    <col min="9480" max="9480" width="9" style="373"/>
    <col min="9481" max="9481" width="11.58203125" style="373" bestFit="1" customWidth="1"/>
    <col min="9482" max="9728" width="9" style="373"/>
    <col min="9729" max="9729" width="12.5" style="373" customWidth="1"/>
    <col min="9730" max="9732" width="10.58203125" style="373" customWidth="1"/>
    <col min="9733" max="9735" width="12.58203125" style="373" customWidth="1"/>
    <col min="9736" max="9736" width="9" style="373"/>
    <col min="9737" max="9737" width="11.58203125" style="373" bestFit="1" customWidth="1"/>
    <col min="9738" max="9984" width="9" style="373"/>
    <col min="9985" max="9985" width="12.5" style="373" customWidth="1"/>
    <col min="9986" max="9988" width="10.58203125" style="373" customWidth="1"/>
    <col min="9989" max="9991" width="12.58203125" style="373" customWidth="1"/>
    <col min="9992" max="9992" width="9" style="373"/>
    <col min="9993" max="9993" width="11.58203125" style="373" bestFit="1" customWidth="1"/>
    <col min="9994" max="10240" width="9" style="373"/>
    <col min="10241" max="10241" width="12.5" style="373" customWidth="1"/>
    <col min="10242" max="10244" width="10.58203125" style="373" customWidth="1"/>
    <col min="10245" max="10247" width="12.58203125" style="373" customWidth="1"/>
    <col min="10248" max="10248" width="9" style="373"/>
    <col min="10249" max="10249" width="11.58203125" style="373" bestFit="1" customWidth="1"/>
    <col min="10250" max="10496" width="9" style="373"/>
    <col min="10497" max="10497" width="12.5" style="373" customWidth="1"/>
    <col min="10498" max="10500" width="10.58203125" style="373" customWidth="1"/>
    <col min="10501" max="10503" width="12.58203125" style="373" customWidth="1"/>
    <col min="10504" max="10504" width="9" style="373"/>
    <col min="10505" max="10505" width="11.58203125" style="373" bestFit="1" customWidth="1"/>
    <col min="10506" max="10752" width="9" style="373"/>
    <col min="10753" max="10753" width="12.5" style="373" customWidth="1"/>
    <col min="10754" max="10756" width="10.58203125" style="373" customWidth="1"/>
    <col min="10757" max="10759" width="12.58203125" style="373" customWidth="1"/>
    <col min="10760" max="10760" width="9" style="373"/>
    <col min="10761" max="10761" width="11.58203125" style="373" bestFit="1" customWidth="1"/>
    <col min="10762" max="11008" width="9" style="373"/>
    <col min="11009" max="11009" width="12.5" style="373" customWidth="1"/>
    <col min="11010" max="11012" width="10.58203125" style="373" customWidth="1"/>
    <col min="11013" max="11015" width="12.58203125" style="373" customWidth="1"/>
    <col min="11016" max="11016" width="9" style="373"/>
    <col min="11017" max="11017" width="11.58203125" style="373" bestFit="1" customWidth="1"/>
    <col min="11018" max="11264" width="9" style="373"/>
    <col min="11265" max="11265" width="12.5" style="373" customWidth="1"/>
    <col min="11266" max="11268" width="10.58203125" style="373" customWidth="1"/>
    <col min="11269" max="11271" width="12.58203125" style="373" customWidth="1"/>
    <col min="11272" max="11272" width="9" style="373"/>
    <col min="11273" max="11273" width="11.58203125" style="373" bestFit="1" customWidth="1"/>
    <col min="11274" max="11520" width="9" style="373"/>
    <col min="11521" max="11521" width="12.5" style="373" customWidth="1"/>
    <col min="11522" max="11524" width="10.58203125" style="373" customWidth="1"/>
    <col min="11525" max="11527" width="12.58203125" style="373" customWidth="1"/>
    <col min="11528" max="11528" width="9" style="373"/>
    <col min="11529" max="11529" width="11.58203125" style="373" bestFit="1" customWidth="1"/>
    <col min="11530" max="11776" width="9" style="373"/>
    <col min="11777" max="11777" width="12.5" style="373" customWidth="1"/>
    <col min="11778" max="11780" width="10.58203125" style="373" customWidth="1"/>
    <col min="11781" max="11783" width="12.58203125" style="373" customWidth="1"/>
    <col min="11784" max="11784" width="9" style="373"/>
    <col min="11785" max="11785" width="11.58203125" style="373" bestFit="1" customWidth="1"/>
    <col min="11786" max="12032" width="9" style="373"/>
    <col min="12033" max="12033" width="12.5" style="373" customWidth="1"/>
    <col min="12034" max="12036" width="10.58203125" style="373" customWidth="1"/>
    <col min="12037" max="12039" width="12.58203125" style="373" customWidth="1"/>
    <col min="12040" max="12040" width="9" style="373"/>
    <col min="12041" max="12041" width="11.58203125" style="373" bestFit="1" customWidth="1"/>
    <col min="12042" max="12288" width="9" style="373"/>
    <col min="12289" max="12289" width="12.5" style="373" customWidth="1"/>
    <col min="12290" max="12292" width="10.58203125" style="373" customWidth="1"/>
    <col min="12293" max="12295" width="12.58203125" style="373" customWidth="1"/>
    <col min="12296" max="12296" width="9" style="373"/>
    <col min="12297" max="12297" width="11.58203125" style="373" bestFit="1" customWidth="1"/>
    <col min="12298" max="12544" width="9" style="373"/>
    <col min="12545" max="12545" width="12.5" style="373" customWidth="1"/>
    <col min="12546" max="12548" width="10.58203125" style="373" customWidth="1"/>
    <col min="12549" max="12551" width="12.58203125" style="373" customWidth="1"/>
    <col min="12552" max="12552" width="9" style="373"/>
    <col min="12553" max="12553" width="11.58203125" style="373" bestFit="1" customWidth="1"/>
    <col min="12554" max="12800" width="9" style="373"/>
    <col min="12801" max="12801" width="12.5" style="373" customWidth="1"/>
    <col min="12802" max="12804" width="10.58203125" style="373" customWidth="1"/>
    <col min="12805" max="12807" width="12.58203125" style="373" customWidth="1"/>
    <col min="12808" max="12808" width="9" style="373"/>
    <col min="12809" max="12809" width="11.58203125" style="373" bestFit="1" customWidth="1"/>
    <col min="12810" max="13056" width="9" style="373"/>
    <col min="13057" max="13057" width="12.5" style="373" customWidth="1"/>
    <col min="13058" max="13060" width="10.58203125" style="373" customWidth="1"/>
    <col min="13061" max="13063" width="12.58203125" style="373" customWidth="1"/>
    <col min="13064" max="13064" width="9" style="373"/>
    <col min="13065" max="13065" width="11.58203125" style="373" bestFit="1" customWidth="1"/>
    <col min="13066" max="13312" width="9" style="373"/>
    <col min="13313" max="13313" width="12.5" style="373" customWidth="1"/>
    <col min="13314" max="13316" width="10.58203125" style="373" customWidth="1"/>
    <col min="13317" max="13319" width="12.58203125" style="373" customWidth="1"/>
    <col min="13320" max="13320" width="9" style="373"/>
    <col min="13321" max="13321" width="11.58203125" style="373" bestFit="1" customWidth="1"/>
    <col min="13322" max="13568" width="9" style="373"/>
    <col min="13569" max="13569" width="12.5" style="373" customWidth="1"/>
    <col min="13570" max="13572" width="10.58203125" style="373" customWidth="1"/>
    <col min="13573" max="13575" width="12.58203125" style="373" customWidth="1"/>
    <col min="13576" max="13576" width="9" style="373"/>
    <col min="13577" max="13577" width="11.58203125" style="373" bestFit="1" customWidth="1"/>
    <col min="13578" max="13824" width="9" style="373"/>
    <col min="13825" max="13825" width="12.5" style="373" customWidth="1"/>
    <col min="13826" max="13828" width="10.58203125" style="373" customWidth="1"/>
    <col min="13829" max="13831" width="12.58203125" style="373" customWidth="1"/>
    <col min="13832" max="13832" width="9" style="373"/>
    <col min="13833" max="13833" width="11.58203125" style="373" bestFit="1" customWidth="1"/>
    <col min="13834" max="14080" width="9" style="373"/>
    <col min="14081" max="14081" width="12.5" style="373" customWidth="1"/>
    <col min="14082" max="14084" width="10.58203125" style="373" customWidth="1"/>
    <col min="14085" max="14087" width="12.58203125" style="373" customWidth="1"/>
    <col min="14088" max="14088" width="9" style="373"/>
    <col min="14089" max="14089" width="11.58203125" style="373" bestFit="1" customWidth="1"/>
    <col min="14090" max="14336" width="9" style="373"/>
    <col min="14337" max="14337" width="12.5" style="373" customWidth="1"/>
    <col min="14338" max="14340" width="10.58203125" style="373" customWidth="1"/>
    <col min="14341" max="14343" width="12.58203125" style="373" customWidth="1"/>
    <col min="14344" max="14344" width="9" style="373"/>
    <col min="14345" max="14345" width="11.58203125" style="373" bestFit="1" customWidth="1"/>
    <col min="14346" max="14592" width="9" style="373"/>
    <col min="14593" max="14593" width="12.5" style="373" customWidth="1"/>
    <col min="14594" max="14596" width="10.58203125" style="373" customWidth="1"/>
    <col min="14597" max="14599" width="12.58203125" style="373" customWidth="1"/>
    <col min="14600" max="14600" width="9" style="373"/>
    <col min="14601" max="14601" width="11.58203125" style="373" bestFit="1" customWidth="1"/>
    <col min="14602" max="14848" width="9" style="373"/>
    <col min="14849" max="14849" width="12.5" style="373" customWidth="1"/>
    <col min="14850" max="14852" width="10.58203125" style="373" customWidth="1"/>
    <col min="14853" max="14855" width="12.58203125" style="373" customWidth="1"/>
    <col min="14856" max="14856" width="9" style="373"/>
    <col min="14857" max="14857" width="11.58203125" style="373" bestFit="1" customWidth="1"/>
    <col min="14858" max="15104" width="9" style="373"/>
    <col min="15105" max="15105" width="12.5" style="373" customWidth="1"/>
    <col min="15106" max="15108" width="10.58203125" style="373" customWidth="1"/>
    <col min="15109" max="15111" width="12.58203125" style="373" customWidth="1"/>
    <col min="15112" max="15112" width="9" style="373"/>
    <col min="15113" max="15113" width="11.58203125" style="373" bestFit="1" customWidth="1"/>
    <col min="15114" max="15360" width="9" style="373"/>
    <col min="15361" max="15361" width="12.5" style="373" customWidth="1"/>
    <col min="15362" max="15364" width="10.58203125" style="373" customWidth="1"/>
    <col min="15365" max="15367" width="12.58203125" style="373" customWidth="1"/>
    <col min="15368" max="15368" width="9" style="373"/>
    <col min="15369" max="15369" width="11.58203125" style="373" bestFit="1" customWidth="1"/>
    <col min="15370" max="15616" width="9" style="373"/>
    <col min="15617" max="15617" width="12.5" style="373" customWidth="1"/>
    <col min="15618" max="15620" width="10.58203125" style="373" customWidth="1"/>
    <col min="15621" max="15623" width="12.58203125" style="373" customWidth="1"/>
    <col min="15624" max="15624" width="9" style="373"/>
    <col min="15625" max="15625" width="11.58203125" style="373" bestFit="1" customWidth="1"/>
    <col min="15626" max="15872" width="9" style="373"/>
    <col min="15873" max="15873" width="12.5" style="373" customWidth="1"/>
    <col min="15874" max="15876" width="10.58203125" style="373" customWidth="1"/>
    <col min="15877" max="15879" width="12.58203125" style="373" customWidth="1"/>
    <col min="15880" max="15880" width="9" style="373"/>
    <col min="15881" max="15881" width="11.58203125" style="373" bestFit="1" customWidth="1"/>
    <col min="15882" max="16128" width="9" style="373"/>
    <col min="16129" max="16129" width="12.5" style="373" customWidth="1"/>
    <col min="16130" max="16132" width="10.58203125" style="373" customWidth="1"/>
    <col min="16133" max="16135" width="12.58203125" style="373" customWidth="1"/>
    <col min="16136" max="16136" width="9" style="373"/>
    <col min="16137" max="16137" width="11.58203125" style="373" bestFit="1" customWidth="1"/>
    <col min="16138" max="16384" width="9" style="373"/>
  </cols>
  <sheetData>
    <row r="1" spans="1:32" ht="21.65" customHeight="1">
      <c r="A1" s="373" t="str">
        <f xml:space="preserve">
IF(OR(テーブル!B2="交付申請",テーブル!B2="交付申請（２次以降）",テーブル!B2="事前協議"),"様式１－３",
IF(テーブル!B2="変更申請","様式１－３",
IF(テーブル!B2="実績報告","様式３－３")))</f>
        <v>様式１－３</v>
      </c>
      <c r="G1" s="374" t="str">
        <f>"《２次募集》"&amp;はじめに入力してください!AE20</f>
        <v>《２次募集》</v>
      </c>
    </row>
    <row r="2" spans="1:32" ht="35.15" customHeight="1">
      <c r="A2" s="828" t="str">
        <f xml:space="preserve">
IF(OR(テーブル!B2="交付申請",テーブル!B2="交付申請（２次以降）",テーブル!B2="事前協議"),"令和４年度歳入歳出予算書抄本",
IF(テーブル!B2="変更申請","令和４年度歳入歳出予算書抄本",
IF(テーブル!B2="実績報告","令和４年度歳入歳出決算書（見込書）抄本")))</f>
        <v>令和４年度歳入歳出予算書抄本</v>
      </c>
      <c r="B2" s="828"/>
      <c r="C2" s="828"/>
      <c r="D2" s="828"/>
      <c r="E2" s="828"/>
      <c r="F2" s="828"/>
      <c r="G2" s="828"/>
    </row>
    <row r="3" spans="1:32" ht="15" customHeight="1">
      <c r="A3" s="373" t="s">
        <v>796</v>
      </c>
    </row>
    <row r="4" spans="1:32" ht="15" customHeight="1">
      <c r="A4" s="829" t="s">
        <v>797</v>
      </c>
      <c r="B4" s="829" t="s">
        <v>798</v>
      </c>
      <c r="C4" s="829" t="s">
        <v>799</v>
      </c>
      <c r="D4" s="829" t="s">
        <v>800</v>
      </c>
      <c r="E4" s="829" t="s">
        <v>801</v>
      </c>
      <c r="F4" s="829"/>
      <c r="G4" s="829" t="s">
        <v>802</v>
      </c>
      <c r="X4" s="830" t="s">
        <v>803</v>
      </c>
      <c r="Y4" s="826" t="s">
        <v>797</v>
      </c>
      <c r="Z4" s="826" t="s">
        <v>798</v>
      </c>
      <c r="AA4" s="826" t="s">
        <v>799</v>
      </c>
      <c r="AB4" s="826" t="s">
        <v>800</v>
      </c>
      <c r="AC4" s="826" t="s">
        <v>801</v>
      </c>
      <c r="AD4" s="826"/>
    </row>
    <row r="5" spans="1:32" ht="15" customHeight="1">
      <c r="A5" s="829"/>
      <c r="B5" s="829"/>
      <c r="C5" s="829"/>
      <c r="D5" s="829"/>
      <c r="E5" s="375" t="s">
        <v>804</v>
      </c>
      <c r="F5" s="375" t="s">
        <v>805</v>
      </c>
      <c r="G5" s="829"/>
      <c r="X5" s="764"/>
      <c r="Y5" s="827"/>
      <c r="Z5" s="827"/>
      <c r="AA5" s="827"/>
      <c r="AB5" s="827"/>
      <c r="AC5" s="376" t="s">
        <v>804</v>
      </c>
      <c r="AD5" s="376" t="s">
        <v>805</v>
      </c>
    </row>
    <row r="6" spans="1:32" ht="15" customHeight="1">
      <c r="A6" s="832"/>
      <c r="B6" s="832"/>
      <c r="C6" s="832"/>
      <c r="D6" s="377" t="s">
        <v>806</v>
      </c>
      <c r="E6" s="832"/>
      <c r="F6" s="377" t="s">
        <v>806</v>
      </c>
      <c r="G6" s="832"/>
      <c r="X6" s="826" t="s">
        <v>807</v>
      </c>
      <c r="Y6" s="826" t="str">
        <f>IF(COUNTA(A6)=1,"○","×")</f>
        <v>×</v>
      </c>
      <c r="Z6" s="826" t="str">
        <f>IF(COUNTA(B6)=1,"○","×")</f>
        <v>×</v>
      </c>
      <c r="AA6" s="826" t="str">
        <f>IF(COUNTA(C6)=1,"○","×")</f>
        <v>×</v>
      </c>
      <c r="AB6" s="826" t="str">
        <f>IF(COUNTA(D7)=1,"○","×")</f>
        <v>×</v>
      </c>
      <c r="AC6" s="826" t="str">
        <f>IF(COUNTA(E6)=1,"○","×")</f>
        <v>×</v>
      </c>
      <c r="AD6" s="826" t="str">
        <f>IF(COUNTA(G6)=1,"○","×")</f>
        <v>×</v>
      </c>
      <c r="AF6" s="830" t="str">
        <f>IF(COUNTIF(Y6:AD9,"○")=12,"○","×")</f>
        <v>×</v>
      </c>
    </row>
    <row r="7" spans="1:32" ht="15" customHeight="1">
      <c r="A7" s="833"/>
      <c r="B7" s="833"/>
      <c r="C7" s="833"/>
      <c r="D7" s="835"/>
      <c r="E7" s="833"/>
      <c r="F7" s="835"/>
      <c r="G7" s="833"/>
      <c r="X7" s="751"/>
      <c r="Y7" s="751"/>
      <c r="Z7" s="751"/>
      <c r="AA7" s="751"/>
      <c r="AB7" s="751"/>
      <c r="AC7" s="751"/>
      <c r="AD7" s="751"/>
      <c r="AF7" s="831"/>
    </row>
    <row r="8" spans="1:32" ht="15" customHeight="1">
      <c r="A8" s="833"/>
      <c r="B8" s="833"/>
      <c r="C8" s="833"/>
      <c r="D8" s="833"/>
      <c r="E8" s="833"/>
      <c r="F8" s="833"/>
      <c r="G8" s="833"/>
      <c r="X8" s="826" t="s">
        <v>808</v>
      </c>
      <c r="Y8" s="826" t="str">
        <f>IF(COUNTA(A21)=1,"○","×")</f>
        <v>×</v>
      </c>
      <c r="Z8" s="826" t="str">
        <f>IF(COUNTA(B21)=1,"○","×")</f>
        <v>×</v>
      </c>
      <c r="AA8" s="826" t="str">
        <f>IF(COUNTA(C21)=1,"○","×")</f>
        <v>×</v>
      </c>
      <c r="AB8" s="826" t="str">
        <f>IF(COUNTA(D22)=1,"○","×")</f>
        <v>×</v>
      </c>
      <c r="AC8" s="826" t="str">
        <f>IF(COUNTA(F22)=1,"○","×")</f>
        <v>×</v>
      </c>
      <c r="AD8" s="826" t="str">
        <f>IF(COUNTA(G21)=1,"○","×")</f>
        <v>×</v>
      </c>
      <c r="AF8" s="831"/>
    </row>
    <row r="9" spans="1:32" ht="15" customHeight="1">
      <c r="A9" s="833"/>
      <c r="B9" s="833"/>
      <c r="C9" s="833"/>
      <c r="D9" s="833"/>
      <c r="E9" s="833"/>
      <c r="F9" s="833"/>
      <c r="G9" s="833"/>
      <c r="X9" s="751"/>
      <c r="Y9" s="751"/>
      <c r="Z9" s="751"/>
      <c r="AA9" s="751"/>
      <c r="AB9" s="751"/>
      <c r="AC9" s="751"/>
      <c r="AD9" s="751"/>
      <c r="AF9" s="764"/>
    </row>
    <row r="10" spans="1:32" ht="15" customHeight="1">
      <c r="A10" s="833"/>
      <c r="B10" s="833"/>
      <c r="C10" s="833"/>
      <c r="D10" s="833"/>
      <c r="E10" s="833"/>
      <c r="F10" s="833"/>
      <c r="G10" s="833"/>
      <c r="X10" s="378"/>
      <c r="Y10" s="378"/>
      <c r="Z10" s="378"/>
      <c r="AA10" s="378"/>
      <c r="AB10" s="378"/>
      <c r="AC10" s="378"/>
      <c r="AD10" s="378"/>
    </row>
    <row r="11" spans="1:32" ht="15" customHeight="1">
      <c r="A11" s="833"/>
      <c r="B11" s="833"/>
      <c r="C11" s="833"/>
      <c r="D11" s="833"/>
      <c r="E11" s="833"/>
      <c r="F11" s="833"/>
      <c r="G11" s="833"/>
      <c r="X11" s="830" t="s">
        <v>125</v>
      </c>
      <c r="Y11" s="830" t="str">
        <f xml:space="preserve">
IF(AND([1]はじめに入力してください!O3="○"&amp;CHAR(10)&amp;"（公立）",AF6="○"),"○",
IF(AND([1]はじめに入力してください!O3="○"&amp;CHAR(10)&amp;"（公立）",AF6="×"),"×",
IF(AND([1]はじめに入力してください!O3&lt;&gt;"○"&amp;CHAR(10)&amp;"（公立）",AF6="○"),"○",
IF(AND([1]はじめに入力してください!O3&lt;&gt;"○"&amp;CHAR(10)&amp;"（公立）",AF6="×"),"○",))))</f>
        <v>○</v>
      </c>
      <c r="Z11" s="838" t="str">
        <f xml:space="preserve">
IF(AND(はじめに入力してください!O3="○"&amp;CHAR(10)&amp;"（公立）",AF6="○"),"適切に入力がされました。",
IF(AND(はじめに入力してください!O3="○"&amp;CHAR(10)&amp;"（公立）",AF6="×"),"【要修正】公立機関なので作成が必要です。",
IF(AND(はじめに入力してください!O3&lt;&gt;"○"&amp;CHAR(10)&amp;"（公立）",AF6="○"),"公立機関ではない場合、作成不要です。（入力されていても特段問題はありません。）",
IF(AND(はじめに入力してください!O3&lt;&gt;"○"&amp;CHAR(10)&amp;"（公立）",AF6="×"),"公立機関ではない場合、作成不要です。（入力されていても特段問題はありません。）",))))</f>
        <v>公立機関ではない場合、作成不要です。（入力されていても特段問題はありません。）</v>
      </c>
      <c r="AA11" s="839"/>
      <c r="AB11" s="839"/>
      <c r="AC11" s="839"/>
      <c r="AD11" s="839"/>
    </row>
    <row r="12" spans="1:32" ht="15" customHeight="1">
      <c r="A12" s="833"/>
      <c r="B12" s="833"/>
      <c r="C12" s="833"/>
      <c r="D12" s="833"/>
      <c r="E12" s="833"/>
      <c r="F12" s="833"/>
      <c r="G12" s="833"/>
      <c r="X12" s="831"/>
      <c r="Y12" s="831"/>
      <c r="Z12" s="840"/>
      <c r="AA12" s="840"/>
      <c r="AB12" s="840"/>
      <c r="AC12" s="840"/>
      <c r="AD12" s="840"/>
    </row>
    <row r="13" spans="1:32" ht="15" customHeight="1">
      <c r="A13" s="833"/>
      <c r="B13" s="833"/>
      <c r="C13" s="833"/>
      <c r="D13" s="833"/>
      <c r="E13" s="833"/>
      <c r="F13" s="833"/>
      <c r="G13" s="833"/>
      <c r="X13" s="764"/>
      <c r="Y13" s="764"/>
      <c r="Z13" s="841"/>
      <c r="AA13" s="841"/>
      <c r="AB13" s="841"/>
      <c r="AC13" s="841"/>
      <c r="AD13" s="841"/>
    </row>
    <row r="14" spans="1:32" ht="15" customHeight="1">
      <c r="A14" s="833"/>
      <c r="B14" s="833"/>
      <c r="C14" s="833"/>
      <c r="D14" s="833"/>
      <c r="E14" s="833"/>
      <c r="F14" s="833"/>
      <c r="G14" s="833"/>
    </row>
    <row r="15" spans="1:32" ht="15" customHeight="1">
      <c r="A15" s="833"/>
      <c r="B15" s="833"/>
      <c r="C15" s="833"/>
      <c r="D15" s="833"/>
      <c r="E15" s="833"/>
      <c r="F15" s="833"/>
      <c r="G15" s="833"/>
    </row>
    <row r="16" spans="1:32" ht="15" customHeight="1">
      <c r="A16" s="833"/>
      <c r="B16" s="833"/>
      <c r="C16" s="833"/>
      <c r="D16" s="833"/>
      <c r="E16" s="833"/>
      <c r="F16" s="833"/>
      <c r="G16" s="833"/>
    </row>
    <row r="17" spans="1:9" ht="15" customHeight="1">
      <c r="A17" s="834"/>
      <c r="B17" s="834"/>
      <c r="C17" s="834"/>
      <c r="D17" s="834"/>
      <c r="E17" s="834"/>
      <c r="F17" s="834"/>
      <c r="G17" s="834"/>
    </row>
    <row r="18" spans="1:9" ht="15" customHeight="1">
      <c r="A18" s="373" t="s">
        <v>809</v>
      </c>
    </row>
    <row r="19" spans="1:9" ht="15" customHeight="1">
      <c r="A19" s="829" t="s">
        <v>797</v>
      </c>
      <c r="B19" s="829" t="s">
        <v>798</v>
      </c>
      <c r="C19" s="829" t="s">
        <v>799</v>
      </c>
      <c r="D19" s="836" t="s">
        <v>800</v>
      </c>
      <c r="E19" s="829" t="s">
        <v>801</v>
      </c>
      <c r="F19" s="837"/>
      <c r="G19" s="829" t="s">
        <v>802</v>
      </c>
      <c r="I19" s="379"/>
    </row>
    <row r="20" spans="1:9" ht="15" customHeight="1">
      <c r="A20" s="829"/>
      <c r="B20" s="829"/>
      <c r="C20" s="829"/>
      <c r="D20" s="836"/>
      <c r="E20" s="375" t="s">
        <v>804</v>
      </c>
      <c r="F20" s="380" t="s">
        <v>805</v>
      </c>
      <c r="G20" s="829"/>
      <c r="I20" s="379"/>
    </row>
    <row r="21" spans="1:9" ht="15" customHeight="1">
      <c r="A21" s="832"/>
      <c r="B21" s="832"/>
      <c r="C21" s="832"/>
      <c r="D21" s="377" t="s">
        <v>806</v>
      </c>
      <c r="E21" s="832"/>
      <c r="F21" s="377" t="s">
        <v>806</v>
      </c>
      <c r="G21" s="832"/>
      <c r="I21" s="379"/>
    </row>
    <row r="22" spans="1:9" ht="15" customHeight="1">
      <c r="A22" s="833"/>
      <c r="B22" s="833"/>
      <c r="C22" s="833"/>
      <c r="D22" s="835"/>
      <c r="E22" s="833"/>
      <c r="F22" s="835"/>
      <c r="G22" s="833"/>
      <c r="I22" s="379"/>
    </row>
    <row r="23" spans="1:9" ht="15" customHeight="1">
      <c r="A23" s="833"/>
      <c r="B23" s="833"/>
      <c r="C23" s="833"/>
      <c r="D23" s="833"/>
      <c r="E23" s="833"/>
      <c r="F23" s="833"/>
      <c r="G23" s="833"/>
      <c r="I23" s="381"/>
    </row>
    <row r="24" spans="1:9" ht="15" customHeight="1">
      <c r="A24" s="833"/>
      <c r="B24" s="833"/>
      <c r="C24" s="833"/>
      <c r="D24" s="833"/>
      <c r="E24" s="833"/>
      <c r="F24" s="833"/>
      <c r="G24" s="833"/>
      <c r="I24" s="379"/>
    </row>
    <row r="25" spans="1:9" ht="15" customHeight="1">
      <c r="A25" s="833"/>
      <c r="B25" s="833"/>
      <c r="C25" s="833"/>
      <c r="D25" s="833"/>
      <c r="E25" s="833"/>
      <c r="F25" s="833"/>
      <c r="G25" s="833"/>
      <c r="I25" s="379"/>
    </row>
    <row r="26" spans="1:9" ht="15" customHeight="1">
      <c r="A26" s="833"/>
      <c r="B26" s="833"/>
      <c r="C26" s="833"/>
      <c r="D26" s="833"/>
      <c r="E26" s="833"/>
      <c r="F26" s="833"/>
      <c r="G26" s="833"/>
      <c r="I26" s="379"/>
    </row>
    <row r="27" spans="1:9" ht="15" customHeight="1">
      <c r="A27" s="833"/>
      <c r="B27" s="833"/>
      <c r="C27" s="833"/>
      <c r="D27" s="833"/>
      <c r="E27" s="833"/>
      <c r="F27" s="833"/>
      <c r="G27" s="833"/>
      <c r="I27" s="379"/>
    </row>
    <row r="28" spans="1:9" ht="15" customHeight="1">
      <c r="A28" s="833"/>
      <c r="B28" s="833"/>
      <c r="C28" s="833"/>
      <c r="D28" s="833"/>
      <c r="E28" s="833"/>
      <c r="F28" s="833"/>
      <c r="G28" s="833"/>
      <c r="I28" s="382"/>
    </row>
    <row r="29" spans="1:9" ht="15" customHeight="1">
      <c r="A29" s="833"/>
      <c r="B29" s="833"/>
      <c r="C29" s="833"/>
      <c r="D29" s="833"/>
      <c r="E29" s="833"/>
      <c r="F29" s="833"/>
      <c r="G29" s="833"/>
      <c r="I29" s="379"/>
    </row>
    <row r="30" spans="1:9" ht="15" customHeight="1">
      <c r="A30" s="833"/>
      <c r="B30" s="833"/>
      <c r="C30" s="833"/>
      <c r="D30" s="833"/>
      <c r="E30" s="833"/>
      <c r="F30" s="833"/>
      <c r="G30" s="833"/>
      <c r="I30" s="379"/>
    </row>
    <row r="31" spans="1:9" ht="15" customHeight="1">
      <c r="A31" s="833"/>
      <c r="B31" s="833"/>
      <c r="C31" s="833"/>
      <c r="D31" s="833"/>
      <c r="E31" s="833"/>
      <c r="F31" s="833"/>
      <c r="G31" s="833"/>
      <c r="I31" s="379"/>
    </row>
    <row r="32" spans="1:9" ht="15" customHeight="1">
      <c r="A32" s="834"/>
      <c r="B32" s="834"/>
      <c r="C32" s="834"/>
      <c r="D32" s="834"/>
      <c r="E32" s="834"/>
      <c r="F32" s="834"/>
      <c r="G32" s="834"/>
      <c r="I32" s="379"/>
    </row>
    <row r="33" spans="1:9" ht="15" customHeight="1">
      <c r="I33" s="381"/>
    </row>
    <row r="34" spans="1:9" ht="15" customHeight="1">
      <c r="A34" s="373" t="s">
        <v>810</v>
      </c>
      <c r="I34" s="379"/>
    </row>
    <row r="35" spans="1:9" ht="15" customHeight="1">
      <c r="I35" s="379"/>
    </row>
    <row r="36" spans="1:9" ht="15" customHeight="1">
      <c r="B36" s="383" t="s">
        <v>1155</v>
      </c>
      <c r="C36" s="383"/>
      <c r="D36" s="842" t="str">
        <f>IF(表紙!N5="令和　　年　月　　日","",表紙!N5)</f>
        <v/>
      </c>
      <c r="E36" s="843"/>
      <c r="I36" s="379"/>
    </row>
    <row r="37" spans="1:9" ht="15" customHeight="1">
      <c r="I37" s="379"/>
    </row>
    <row r="38" spans="1:9" ht="15" customHeight="1">
      <c r="B38" s="384" t="s">
        <v>811</v>
      </c>
      <c r="C38" s="385"/>
      <c r="D38" s="373" t="str">
        <f>表紙!L9</f>
        <v/>
      </c>
      <c r="I38" s="379"/>
    </row>
    <row r="39" spans="1:9" ht="15" customHeight="1">
      <c r="D39" s="386"/>
      <c r="I39" s="387"/>
    </row>
    <row r="40" spans="1:9" ht="15" customHeight="1">
      <c r="B40" s="384" t="s">
        <v>812</v>
      </c>
      <c r="C40" s="385"/>
      <c r="D40" s="386" t="str">
        <f>表紙!L10</f>
        <v>　</v>
      </c>
    </row>
    <row r="41" spans="1:9" ht="15" customHeight="1">
      <c r="I41" s="379"/>
    </row>
    <row r="42" spans="1:9" ht="15" customHeight="1">
      <c r="I42" s="379"/>
    </row>
    <row r="43" spans="1:9" ht="15" customHeight="1">
      <c r="A43" s="373" t="s">
        <v>813</v>
      </c>
      <c r="I43" s="379"/>
    </row>
    <row r="44" spans="1:9" ht="15" customHeight="1"/>
  </sheetData>
  <sheetProtection algorithmName="SHA-512" hashValue="dlyyQ+tkXN2m5okxR6XC5nUvAw3kfsyKyeIzOP7YQkbpLCWZZO2BFFYvvgDoLCA7Pbgv9ckJzJebD2bZ1CV04g==" saltValue="KJgH6ph78tjpZEuAwWeKFQ==" spinCount="100000" sheet="1" objects="1" scenarios="1"/>
  <mergeCells count="52">
    <mergeCell ref="D36:E36"/>
    <mergeCell ref="A21:A32"/>
    <mergeCell ref="B21:B32"/>
    <mergeCell ref="C21:C32"/>
    <mergeCell ref="E21:E32"/>
    <mergeCell ref="G21:G32"/>
    <mergeCell ref="D22:D32"/>
    <mergeCell ref="F22:F32"/>
    <mergeCell ref="Y11:Y13"/>
    <mergeCell ref="Z11:AD13"/>
    <mergeCell ref="G19:G20"/>
    <mergeCell ref="A19:A20"/>
    <mergeCell ref="B19:B20"/>
    <mergeCell ref="C19:C20"/>
    <mergeCell ref="D19:D20"/>
    <mergeCell ref="E19:F19"/>
    <mergeCell ref="AF6:AF9"/>
    <mergeCell ref="D7:D17"/>
    <mergeCell ref="F7:F17"/>
    <mergeCell ref="X8:X9"/>
    <mergeCell ref="Y8:Y9"/>
    <mergeCell ref="Z8:Z9"/>
    <mergeCell ref="AA8:AA9"/>
    <mergeCell ref="AB8:AB9"/>
    <mergeCell ref="AC8:AC9"/>
    <mergeCell ref="AD8:AD9"/>
    <mergeCell ref="Y6:Y7"/>
    <mergeCell ref="Z6:Z7"/>
    <mergeCell ref="AA6:AA7"/>
    <mergeCell ref="AB6:AB7"/>
    <mergeCell ref="AC6:AC7"/>
    <mergeCell ref="AD6:AD7"/>
    <mergeCell ref="A6:A17"/>
    <mergeCell ref="B6:B17"/>
    <mergeCell ref="C6:C17"/>
    <mergeCell ref="E6:E17"/>
    <mergeCell ref="G6:G17"/>
    <mergeCell ref="X6:X7"/>
    <mergeCell ref="X11:X13"/>
    <mergeCell ref="X4:X5"/>
    <mergeCell ref="Y4:Y5"/>
    <mergeCell ref="Z4:Z5"/>
    <mergeCell ref="AA4:AA5"/>
    <mergeCell ref="AB4:AB5"/>
    <mergeCell ref="AC4:AD4"/>
    <mergeCell ref="A2:G2"/>
    <mergeCell ref="A4:A5"/>
    <mergeCell ref="B4:B5"/>
    <mergeCell ref="C4:C5"/>
    <mergeCell ref="D4:D5"/>
    <mergeCell ref="E4:F4"/>
    <mergeCell ref="G4:G5"/>
  </mergeCells>
  <phoneticPr fontId="5"/>
  <conditionalFormatting sqref="Y6:AD9">
    <cfRule type="containsText" dxfId="66" priority="3" operator="containsText" text="×">
      <formula>NOT(ISERROR(SEARCH("×",Y6)))</formula>
    </cfRule>
  </conditionalFormatting>
  <conditionalFormatting sqref="Y11:Y13">
    <cfRule type="containsText" dxfId="65" priority="2" operator="containsText" text="×">
      <formula>NOT(ISERROR(SEARCH("×",Y11)))</formula>
    </cfRule>
  </conditionalFormatting>
  <conditionalFormatting sqref="Z11:AD13">
    <cfRule type="containsText" dxfId="64" priority="1" operator="containsText" text="要修正">
      <formula>NOT(ISERROR(SEARCH("要修正",Z11)))</formula>
    </cfRule>
  </conditionalFormatting>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rgb="FFFFFF00"/>
  </sheetPr>
  <dimension ref="A1"/>
  <sheetViews>
    <sheetView workbookViewId="0">
      <selection activeCell="J16" sqref="J16"/>
    </sheetView>
  </sheetViews>
  <sheetFormatPr defaultRowHeight="18"/>
  <sheetData/>
  <phoneticPr fontId="5"/>
  <pageMargins left="0.7" right="0.7" top="0.75" bottom="0.75" header="0.3" footer="0.3"/>
  <pageSetup paperSize="9" orientation="portrait" copies="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pageSetUpPr fitToPage="1"/>
  </sheetPr>
  <dimension ref="A1:AF74"/>
  <sheetViews>
    <sheetView showGridLines="0" view="pageBreakPreview" topLeftCell="A24" zoomScale="80" zoomScaleNormal="80" zoomScaleSheetLayoutView="80" workbookViewId="0">
      <selection activeCell="K2" sqref="K2:L2"/>
    </sheetView>
  </sheetViews>
  <sheetFormatPr defaultColWidth="8.58203125" defaultRowHeight="18"/>
  <cols>
    <col min="1" max="1" width="3.58203125" style="16" customWidth="1"/>
    <col min="2" max="4" width="8.58203125" style="17"/>
    <col min="5" max="5" width="30.58203125" style="17" customWidth="1"/>
    <col min="6" max="6" width="8.58203125" style="17"/>
    <col min="7" max="11" width="12.58203125" style="17" customWidth="1"/>
    <col min="12" max="12" width="8.58203125" style="17"/>
    <col min="13" max="13" width="3.58203125" style="17" customWidth="1"/>
    <col min="14" max="23" width="8.58203125" style="17"/>
    <col min="24" max="24" width="8.58203125" style="17" customWidth="1"/>
    <col min="25" max="25" width="3.58203125" style="16" customWidth="1"/>
    <col min="26" max="26" width="8.58203125" style="17"/>
    <col min="27" max="27" width="40.58203125" style="17" customWidth="1"/>
    <col min="28" max="28" width="3.58203125" style="17" customWidth="1"/>
    <col min="29" max="32" width="8.58203125" style="17"/>
    <col min="33" max="33" width="30.58203125" style="17" customWidth="1"/>
    <col min="34" max="16384" width="8.58203125" style="17"/>
  </cols>
  <sheetData>
    <row r="1" spans="1:32" ht="20.149999999999999" customHeight="1">
      <c r="K1" s="870" t="str">
        <f>"《２次募集》"&amp;はじめに入力してください!AE20</f>
        <v>《２次募集》</v>
      </c>
      <c r="L1" s="779"/>
      <c r="M1" s="779"/>
    </row>
    <row r="2" spans="1:32" ht="20.149999999999999" customHeight="1">
      <c r="B2" s="864" t="s">
        <v>458</v>
      </c>
      <c r="C2" s="865"/>
      <c r="D2" s="866"/>
      <c r="H2" s="303" t="s">
        <v>631</v>
      </c>
      <c r="I2" s="105" t="s">
        <v>632</v>
      </c>
      <c r="J2" s="303" t="s">
        <v>63</v>
      </c>
      <c r="L2" s="18" t="str">
        <f>VLOOKUP(B2,テーブル!H37:J51,3,FALSE)</f>
        <v>様式2-1</v>
      </c>
      <c r="Z2" s="18" t="s">
        <v>454</v>
      </c>
      <c r="AA2" s="18" t="s">
        <v>452</v>
      </c>
      <c r="AC2" s="18" t="str">
        <f>Z9</f>
        <v>○</v>
      </c>
      <c r="AD2" s="18" t="str">
        <f>Z15</f>
        <v>○</v>
      </c>
      <c r="AE2" s="36" t="str">
        <f>Z22</f>
        <v>○</v>
      </c>
      <c r="AF2" s="18"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s="108" customFormat="1" ht="10" customHeight="1">
      <c r="A4" s="16"/>
      <c r="Y4" s="16"/>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8" t="s">
        <v>76</v>
      </c>
      <c r="C9" s="26"/>
      <c r="D9" s="18" t="s">
        <v>77</v>
      </c>
      <c r="E9" s="871"/>
      <c r="F9" s="872"/>
      <c r="G9" s="872"/>
      <c r="H9" s="872"/>
      <c r="I9" s="872"/>
      <c r="J9" s="873"/>
      <c r="K9" s="873"/>
      <c r="L9" s="874"/>
      <c r="Z9" s="18" t="str">
        <f xml:space="preserve">
IF(SUM(COUNTA(C9),COUNTA(E9))=0,"○",
IF(AND(SUM(COUNTA(C9),COUNTA(E9))&gt;0,SUM(COUNTA(C9),COUNTA(E9))&lt;2),"×",
IF(SUM(COUNTA(C9),COUNTA(E9))=2,"◎"
)))</f>
        <v>○</v>
      </c>
      <c r="AA9" s="20"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22" customFormat="1" ht="100" customHeight="1">
      <c r="A14" s="21"/>
      <c r="B14" s="875" t="str">
        <f>VLOOKUP(B2,テーブル!H37:I51,2,FALSE)</f>
        <v>（例）整備を行う病床は新たに確保病床として指定を受けた病床であり、コロナ陽性患者を受け入れるにあたり現況では○○が具備されていない状況である。
　　入院患者への支援及び患者が生活を送る上で○○や○○といった不都合が生じる。これへの対応として○○及び○○の整備により対応することとしたい。</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8" t="str">
        <f xml:space="preserve">
IF(COUNTA(B15)=0,"○",
IF(COUNTA(B15)=1,"◎"))</f>
        <v>○</v>
      </c>
      <c r="AA15" s="20" t="str">
        <f xml:space="preserve">
IF(COUNTA(B15)=0,"整備しない場合は入力不要です。",
IF(COUNTA(B15)=1,"入力された状態になりました。"))</f>
        <v>整備しない場合は入力不要です。</v>
      </c>
    </row>
    <row r="16" spans="1:32" ht="20.149999999999999" customHeight="1"/>
    <row r="17" spans="1:27" s="35" customFormat="1" ht="20.149999999999999" customHeight="1">
      <c r="A17" s="16"/>
      <c r="B17" s="19" t="s">
        <v>498</v>
      </c>
      <c r="C17" s="19"/>
      <c r="D17" s="19"/>
      <c r="E17" s="19"/>
      <c r="F17" s="19"/>
      <c r="G17" s="19"/>
      <c r="H17" s="19"/>
      <c r="I17" s="19"/>
      <c r="J17" s="19"/>
      <c r="K17" s="19"/>
      <c r="L17" s="19"/>
      <c r="Y17" s="16"/>
    </row>
    <row r="18" spans="1:27" s="35" customFormat="1" ht="20.149999999999999" customHeight="1">
      <c r="A18" s="16"/>
      <c r="B18" s="854" t="s">
        <v>539</v>
      </c>
      <c r="C18" s="607"/>
      <c r="D18" s="607"/>
      <c r="E18" s="607"/>
      <c r="F18" s="607"/>
      <c r="G18" s="607"/>
      <c r="H18" s="607"/>
      <c r="I18" s="607"/>
      <c r="J18" s="607"/>
      <c r="K18" s="607"/>
      <c r="L18" s="607"/>
      <c r="Y18" s="16"/>
    </row>
    <row r="19" spans="1:27" s="35" customFormat="1" ht="20.149999999999999" customHeight="1">
      <c r="A19" s="16"/>
      <c r="B19" s="854"/>
      <c r="C19" s="607"/>
      <c r="D19" s="607"/>
      <c r="E19" s="607"/>
      <c r="F19" s="607"/>
      <c r="G19" s="607"/>
      <c r="H19" s="607"/>
      <c r="I19" s="607"/>
      <c r="J19" s="607"/>
      <c r="K19" s="607"/>
      <c r="L19" s="607"/>
      <c r="Y19" s="16"/>
    </row>
    <row r="20" spans="1:27" s="35" customFormat="1" ht="20.149999999999999" customHeight="1">
      <c r="A20" s="16"/>
      <c r="B20" s="854"/>
      <c r="C20" s="607"/>
      <c r="D20" s="607"/>
      <c r="E20" s="607"/>
      <c r="F20" s="607"/>
      <c r="G20" s="607"/>
      <c r="H20" s="607"/>
      <c r="I20" s="607"/>
      <c r="J20" s="607"/>
      <c r="K20" s="607"/>
      <c r="L20" s="607"/>
      <c r="Y20" s="16"/>
    </row>
    <row r="21" spans="1:27" s="35" customFormat="1" ht="20.149999999999999" customHeight="1">
      <c r="A21" s="16"/>
      <c r="B21" s="607"/>
      <c r="C21" s="607"/>
      <c r="D21" s="607"/>
      <c r="E21" s="607"/>
      <c r="F21" s="607"/>
      <c r="G21" s="607"/>
      <c r="H21" s="607"/>
      <c r="I21" s="607"/>
      <c r="J21" s="607"/>
      <c r="K21" s="607"/>
      <c r="L21" s="607"/>
      <c r="Y21" s="16"/>
    </row>
    <row r="22" spans="1:27" s="35" customFormat="1" ht="120" customHeight="1">
      <c r="A22" s="16"/>
      <c r="B22" s="856"/>
      <c r="C22" s="857"/>
      <c r="D22" s="857"/>
      <c r="E22" s="857"/>
      <c r="F22" s="857"/>
      <c r="G22" s="857"/>
      <c r="H22" s="857"/>
      <c r="I22" s="857"/>
      <c r="J22" s="857"/>
      <c r="K22" s="857"/>
      <c r="L22" s="858"/>
      <c r="Y22" s="16"/>
      <c r="Z22" s="36" t="str">
        <f xml:space="preserve">
IF(COUNTA(B22)=0,"○",
IF(COUNTA(B22)=1,"◎"))</f>
        <v>○</v>
      </c>
      <c r="AA22" s="37" t="str">
        <f xml:space="preserve">
IF(COUNTA(B22)=0,"整備しない場合は入力不要です。",
IF(COUNTA(B22)=1,"入力された状態になりました。"))</f>
        <v>整備しない場合は入力不要です。</v>
      </c>
    </row>
    <row r="23" spans="1:27" s="35" customFormat="1" ht="20.149999999999999" customHeight="1">
      <c r="A23" s="16"/>
      <c r="Y23" s="16"/>
    </row>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8" t="str">
        <f xml:space="preserve">
IF(COUNTIF(Z30:Z74,"○")=45,"○",
IF(COUNTIF(Z30:Z74,"×")&gt;=1,"×",
IF(AND(COUNTIF(Z30:Z74,"◎")&gt;=1,COUNTIF(Z30:Z74,"×")=0),"◎")))</f>
        <v>○</v>
      </c>
      <c r="AA26" s="20"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8" t="s">
        <v>450</v>
      </c>
      <c r="AA29" s="18"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20" t="str">
        <f>IF(B30="個別病床",はじめに入力してください!$K$13,IF(B30="共通使用",はじめに入力してください!$K$12,""))</f>
        <v/>
      </c>
      <c r="Y30" s="16">
        <v>1</v>
      </c>
      <c r="Z30" s="18" t="str">
        <f xml:space="preserve">
IF(SUM(COUNTA(B30:G30),COUNTA(J30))=0,"○",
IF(AND(SUM(COUNTA(B30:G30),COUNTA(J30))&gt;0,SUM(COUNTA(B30:G30),COUNTA(J30))&lt;7),"×",
IF(SUM(COUNTA(B30:G30),COUNTA(J30))=7,"◎")))</f>
        <v>○</v>
      </c>
      <c r="AA30" s="20"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106" t="str">
        <f>IF(B31="既設病床",はじめに入力してください!$K$12,IF(B31="新設病床",はじめに入力してください!$K$13,IF(B31="共通使用",1,"")))</f>
        <v/>
      </c>
      <c r="Y31" s="16">
        <v>2</v>
      </c>
      <c r="Z31" s="18" t="str">
        <f t="shared" ref="Z31:Z74" si="3" xml:space="preserve">
IF(SUM(COUNTA(B31:G31),COUNTA(J31))=0,"○",
IF(AND(SUM(COUNTA(B31:G31),COUNTA(J31))&gt;0,SUM(COUNTA(B31:G31),COUNTA(J31))&lt;7),"×",
IF(SUM(COUNTA(B31:G31),COUNTA(J31))=7,"◎")))</f>
        <v>○</v>
      </c>
      <c r="AA31" s="20"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106" t="str">
        <f>IF(B32="既設病床",はじめに入力してください!$K$12,IF(B32="新設病床",はじめに入力してください!$K$13,IF(B32="共通使用",1,"")))</f>
        <v/>
      </c>
      <c r="Y32" s="16">
        <v>3</v>
      </c>
      <c r="Z32" s="18" t="str">
        <f t="shared" si="3"/>
        <v>○</v>
      </c>
      <c r="AA32" s="20"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106" t="str">
        <f>IF(B33="既設病床",はじめに入力してください!$K$12,IF(B33="新設病床",はじめに入力してください!$K$13,IF(B33="共通使用",1,"")))</f>
        <v/>
      </c>
      <c r="Y33" s="16">
        <v>4</v>
      </c>
      <c r="Z33" s="18" t="str">
        <f t="shared" si="3"/>
        <v>○</v>
      </c>
      <c r="AA33" s="20"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106" t="str">
        <f>IF(B34="既設病床",はじめに入力してください!$K$12,IF(B34="新設病床",はじめに入力してください!$K$13,IF(B34="共通使用",1,"")))</f>
        <v/>
      </c>
      <c r="Y34" s="16">
        <v>5</v>
      </c>
      <c r="Z34" s="18" t="str">
        <f t="shared" si="3"/>
        <v>○</v>
      </c>
      <c r="AA34" s="20"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106" t="str">
        <f>IF(B35="既設病床",はじめに入力してください!$K$12,IF(B35="新設病床",はじめに入力してください!$K$13,IF(B35="共通使用",1,"")))</f>
        <v/>
      </c>
      <c r="Y35" s="16">
        <v>6</v>
      </c>
      <c r="Z35" s="18" t="str">
        <f t="shared" si="3"/>
        <v>○</v>
      </c>
      <c r="AA35" s="20"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106" t="str">
        <f>IF(B36="既設病床",はじめに入力してください!$K$12,IF(B36="新設病床",はじめに入力してください!$K$13,IF(B36="共通使用",1,"")))</f>
        <v/>
      </c>
      <c r="Y36" s="16">
        <v>7</v>
      </c>
      <c r="Z36" s="18" t="str">
        <f t="shared" si="3"/>
        <v>○</v>
      </c>
      <c r="AA36" s="20"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106" t="str">
        <f>IF(B37="既設病床",はじめに入力してください!$K$12,IF(B37="新設病床",はじめに入力してください!$K$13,IF(B37="共通使用",1,"")))</f>
        <v/>
      </c>
      <c r="Y37" s="16">
        <v>8</v>
      </c>
      <c r="Z37" s="18" t="str">
        <f t="shared" si="3"/>
        <v>○</v>
      </c>
      <c r="AA37" s="20"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106" t="str">
        <f>IF(B38="既設病床",はじめに入力してください!$K$12,IF(B38="新設病床",はじめに入力してください!$K$13,IF(B38="共通使用",1,"")))</f>
        <v/>
      </c>
      <c r="Y38" s="16">
        <v>9</v>
      </c>
      <c r="Z38" s="18" t="str">
        <f t="shared" si="3"/>
        <v>○</v>
      </c>
      <c r="AA38" s="20"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106" t="str">
        <f>IF(B39="既設病床",はじめに入力してください!$K$12,IF(B39="新設病床",はじめに入力してください!$K$13,IF(B39="共通使用",1,"")))</f>
        <v/>
      </c>
      <c r="Y39" s="16">
        <v>10</v>
      </c>
      <c r="Z39" s="18" t="str">
        <f t="shared" si="3"/>
        <v>○</v>
      </c>
      <c r="AA39" s="20"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106" t="str">
        <f>IF(B40="既設病床",はじめに入力してください!$K$12,IF(B40="新設病床",はじめに入力してください!$K$13,IF(B40="共通使用",1,"")))</f>
        <v/>
      </c>
      <c r="Y40" s="16">
        <v>11</v>
      </c>
      <c r="Z40" s="18" t="str">
        <f t="shared" si="3"/>
        <v>○</v>
      </c>
      <c r="AA40" s="20"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106" t="str">
        <f>IF(B41="既設病床",はじめに入力してください!$K$12,IF(B41="新設病床",はじめに入力してください!$K$13,IF(B41="共通使用",1,"")))</f>
        <v/>
      </c>
      <c r="Y41" s="16">
        <v>12</v>
      </c>
      <c r="Z41" s="18" t="str">
        <f t="shared" si="3"/>
        <v>○</v>
      </c>
      <c r="AA41" s="20"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106" t="str">
        <f>IF(B42="既設病床",はじめに入力してください!$K$12,IF(B42="新設病床",はじめに入力してください!$K$13,IF(B42="共通使用",1,"")))</f>
        <v/>
      </c>
      <c r="Y42" s="16">
        <v>13</v>
      </c>
      <c r="Z42" s="18" t="str">
        <f t="shared" si="3"/>
        <v>○</v>
      </c>
      <c r="AA42" s="20"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106" t="str">
        <f>IF(B43="既設病床",はじめに入力してください!$K$12,IF(B43="新設病床",はじめに入力してください!$K$13,IF(B43="共通使用",1,"")))</f>
        <v/>
      </c>
      <c r="Y43" s="16">
        <v>14</v>
      </c>
      <c r="Z43" s="18" t="str">
        <f t="shared" si="3"/>
        <v>○</v>
      </c>
      <c r="AA43" s="20"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106" t="str">
        <f>IF(B44="既設病床",はじめに入力してください!$K$12,IF(B44="新設病床",はじめに入力してください!$K$13,IF(B44="共通使用",1,"")))</f>
        <v/>
      </c>
      <c r="Y44" s="16">
        <v>15</v>
      </c>
      <c r="Z44" s="18" t="str">
        <f t="shared" si="3"/>
        <v>○</v>
      </c>
      <c r="AA44" s="20"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106" t="str">
        <f>IF(B45="既設病床",はじめに入力してください!$K$12,IF(B45="新設病床",はじめに入力してください!$K$13,IF(B45="共通使用",1,"")))</f>
        <v/>
      </c>
      <c r="Y45" s="16">
        <v>16</v>
      </c>
      <c r="Z45" s="18" t="str">
        <f t="shared" si="3"/>
        <v>○</v>
      </c>
      <c r="AA45" s="20"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106" t="str">
        <f>IF(B46="既設病床",はじめに入力してください!$K$12,IF(B46="新設病床",はじめに入力してください!$K$13,IF(B46="共通使用",1,"")))</f>
        <v/>
      </c>
      <c r="Y46" s="16">
        <v>17</v>
      </c>
      <c r="Z46" s="18" t="str">
        <f t="shared" si="3"/>
        <v>○</v>
      </c>
      <c r="AA46" s="20"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106" t="str">
        <f>IF(B47="既設病床",はじめに入力してください!$K$12,IF(B47="新設病床",はじめに入力してください!$K$13,IF(B47="共通使用",1,"")))</f>
        <v/>
      </c>
      <c r="Y47" s="16">
        <v>18</v>
      </c>
      <c r="Z47" s="18" t="str">
        <f t="shared" si="3"/>
        <v>○</v>
      </c>
      <c r="AA47" s="20"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106" t="str">
        <f>IF(B48="既設病床",はじめに入力してください!$K$12,IF(B48="新設病床",はじめに入力してください!$K$13,IF(B48="共通使用",1,"")))</f>
        <v/>
      </c>
      <c r="Y48" s="16">
        <v>19</v>
      </c>
      <c r="Z48" s="18" t="str">
        <f t="shared" si="3"/>
        <v>○</v>
      </c>
      <c r="AA48" s="20"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106" t="str">
        <f>IF(B49="既設病床",はじめに入力してください!$K$12,IF(B49="新設病床",はじめに入力してください!$K$13,IF(B49="共通使用",1,"")))</f>
        <v/>
      </c>
      <c r="Y49" s="16">
        <v>20</v>
      </c>
      <c r="Z49" s="18" t="str">
        <f t="shared" si="3"/>
        <v>○</v>
      </c>
      <c r="AA49" s="20"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106" t="str">
        <f>IF(B50="既設病床",はじめに入力してください!$K$12,IF(B50="新設病床",はじめに入力してください!$K$13,IF(B50="共通使用",1,"")))</f>
        <v/>
      </c>
      <c r="Y50" s="16">
        <v>21</v>
      </c>
      <c r="Z50" s="18" t="str">
        <f t="shared" si="3"/>
        <v>○</v>
      </c>
      <c r="AA50" s="20"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106" t="str">
        <f>IF(B51="既設病床",はじめに入力してください!$K$12,IF(B51="新設病床",はじめに入力してください!$K$13,IF(B51="共通使用",1,"")))</f>
        <v/>
      </c>
      <c r="Y51" s="16">
        <v>22</v>
      </c>
      <c r="Z51" s="18" t="str">
        <f t="shared" si="3"/>
        <v>○</v>
      </c>
      <c r="AA51" s="20"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106" t="str">
        <f>IF(B52="既設病床",はじめに入力してください!$K$12,IF(B52="新設病床",はじめに入力してください!$K$13,IF(B52="共通使用",1,"")))</f>
        <v/>
      </c>
      <c r="Y52" s="16">
        <v>23</v>
      </c>
      <c r="Z52" s="18" t="str">
        <f t="shared" si="3"/>
        <v>○</v>
      </c>
      <c r="AA52" s="20"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106" t="str">
        <f>IF(B53="既設病床",はじめに入力してください!$K$12,IF(B53="新設病床",はじめに入力してください!$K$13,IF(B53="共通使用",1,"")))</f>
        <v/>
      </c>
      <c r="Y53" s="16">
        <v>24</v>
      </c>
      <c r="Z53" s="18" t="str">
        <f t="shared" si="3"/>
        <v>○</v>
      </c>
      <c r="AA53" s="20"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106" t="str">
        <f>IF(B54="既設病床",はじめに入力してください!$K$12,IF(B54="新設病床",はじめに入力してください!$K$13,IF(B54="共通使用",1,"")))</f>
        <v/>
      </c>
      <c r="Y54" s="16">
        <v>25</v>
      </c>
      <c r="Z54" s="18" t="str">
        <f t="shared" si="3"/>
        <v>○</v>
      </c>
      <c r="AA54" s="20"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106" t="str">
        <f>IF(B55="既設病床",はじめに入力してください!$K$12,IF(B55="新設病床",はじめに入力してください!$K$13,IF(B55="共通使用",1,"")))</f>
        <v/>
      </c>
      <c r="Y55" s="16">
        <v>26</v>
      </c>
      <c r="Z55" s="18" t="str">
        <f t="shared" si="3"/>
        <v>○</v>
      </c>
      <c r="AA55" s="20"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106" t="str">
        <f>IF(B56="既設病床",はじめに入力してください!$K$12,IF(B56="新設病床",はじめに入力してください!$K$13,IF(B56="共通使用",1,"")))</f>
        <v/>
      </c>
      <c r="Y56" s="16">
        <v>27</v>
      </c>
      <c r="Z56" s="18" t="str">
        <f t="shared" si="3"/>
        <v>○</v>
      </c>
      <c r="AA56" s="20"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106" t="str">
        <f>IF(B57="既設病床",はじめに入力してください!$K$12,IF(B57="新設病床",はじめに入力してください!$K$13,IF(B57="共通使用",1,"")))</f>
        <v/>
      </c>
      <c r="Y57" s="16">
        <v>28</v>
      </c>
      <c r="Z57" s="18" t="str">
        <f t="shared" si="3"/>
        <v>○</v>
      </c>
      <c r="AA57" s="20"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106" t="str">
        <f>IF(B58="既設病床",はじめに入力してください!$K$12,IF(B58="新設病床",はじめに入力してください!$K$13,IF(B58="共通使用",1,"")))</f>
        <v/>
      </c>
      <c r="Y58" s="16">
        <v>29</v>
      </c>
      <c r="Z58" s="18" t="str">
        <f t="shared" si="3"/>
        <v>○</v>
      </c>
      <c r="AA58" s="20"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106" t="str">
        <f>IF(B59="既設病床",はじめに入力してください!$K$12,IF(B59="新設病床",はじめに入力してください!$K$13,IF(B59="共通使用",1,"")))</f>
        <v/>
      </c>
      <c r="Y59" s="16">
        <v>30</v>
      </c>
      <c r="Z59" s="18" t="str">
        <f t="shared" si="3"/>
        <v>○</v>
      </c>
      <c r="AA59" s="20"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106" t="str">
        <f>IF(B60="既設病床",はじめに入力してください!$K$12,IF(B60="新設病床",はじめに入力してください!$K$13,IF(B60="共通使用",1,"")))</f>
        <v/>
      </c>
      <c r="Y60" s="16">
        <v>31</v>
      </c>
      <c r="Z60" s="18" t="str">
        <f t="shared" si="3"/>
        <v>○</v>
      </c>
      <c r="AA60" s="20"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106" t="str">
        <f>IF(B61="既設病床",はじめに入力してください!$K$12,IF(B61="新設病床",はじめに入力してください!$K$13,IF(B61="共通使用",1,"")))</f>
        <v/>
      </c>
      <c r="Y61" s="16">
        <v>32</v>
      </c>
      <c r="Z61" s="18" t="str">
        <f t="shared" si="3"/>
        <v>○</v>
      </c>
      <c r="AA61" s="20"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106" t="str">
        <f>IF(B62="既設病床",はじめに入力してください!$K$12,IF(B62="新設病床",はじめに入力してください!$K$13,IF(B62="共通使用",1,"")))</f>
        <v/>
      </c>
      <c r="Y62" s="16">
        <v>33</v>
      </c>
      <c r="Z62" s="18" t="str">
        <f t="shared" si="3"/>
        <v>○</v>
      </c>
      <c r="AA62" s="20"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106" t="str">
        <f>IF(B63="既設病床",はじめに入力してください!$K$12,IF(B63="新設病床",はじめに入力してください!$K$13,IF(B63="共通使用",1,"")))</f>
        <v/>
      </c>
      <c r="Y63" s="16">
        <v>34</v>
      </c>
      <c r="Z63" s="18" t="str">
        <f t="shared" si="3"/>
        <v>○</v>
      </c>
      <c r="AA63" s="20"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106" t="str">
        <f>IF(B64="既設病床",はじめに入力してください!$K$12,IF(B64="新設病床",はじめに入力してください!$K$13,IF(B64="共通使用",1,"")))</f>
        <v/>
      </c>
      <c r="Y64" s="16">
        <v>35</v>
      </c>
      <c r="Z64" s="18" t="str">
        <f t="shared" si="3"/>
        <v>○</v>
      </c>
      <c r="AA64" s="20"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106" t="str">
        <f>IF(B65="既設病床",はじめに入力してください!$K$12,IF(B65="新設病床",はじめに入力してください!$K$13,IF(B65="共通使用",1,"")))</f>
        <v/>
      </c>
      <c r="Y65" s="16">
        <v>36</v>
      </c>
      <c r="Z65" s="18" t="str">
        <f t="shared" si="3"/>
        <v>○</v>
      </c>
      <c r="AA65" s="20"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106" t="str">
        <f>IF(B66="既設病床",はじめに入力してください!$K$12,IF(B66="新設病床",はじめに入力してください!$K$13,IF(B66="共通使用",1,"")))</f>
        <v/>
      </c>
      <c r="Y66" s="16">
        <v>37</v>
      </c>
      <c r="Z66" s="18" t="str">
        <f t="shared" si="3"/>
        <v>○</v>
      </c>
      <c r="AA66" s="20"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106" t="str">
        <f>IF(B67="既設病床",はじめに入力してください!$K$12,IF(B67="新設病床",はじめに入力してください!$K$13,IF(B67="共通使用",1,"")))</f>
        <v/>
      </c>
      <c r="Y67" s="16">
        <v>38</v>
      </c>
      <c r="Z67" s="18" t="str">
        <f t="shared" si="3"/>
        <v>○</v>
      </c>
      <c r="AA67" s="20"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106" t="str">
        <f>IF(B68="既設病床",はじめに入力してください!$K$12,IF(B68="新設病床",はじめに入力してください!$K$13,IF(B68="共通使用",1,"")))</f>
        <v/>
      </c>
      <c r="Y68" s="16">
        <v>39</v>
      </c>
      <c r="Z68" s="18" t="str">
        <f t="shared" si="3"/>
        <v>○</v>
      </c>
      <c r="AA68" s="20"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106" t="str">
        <f>IF(B69="既設病床",はじめに入力してください!$K$12,IF(B69="新設病床",はじめに入力してください!$K$13,IF(B69="共通使用",1,"")))</f>
        <v/>
      </c>
      <c r="Y69" s="16">
        <v>40</v>
      </c>
      <c r="Z69" s="18" t="str">
        <f t="shared" si="3"/>
        <v>○</v>
      </c>
      <c r="AA69" s="20"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106" t="str">
        <f>IF(B70="既設病床",はじめに入力してください!$K$12,IF(B70="新設病床",はじめに入力してください!$K$13,IF(B70="共通使用",1,"")))</f>
        <v/>
      </c>
      <c r="Y70" s="16">
        <v>41</v>
      </c>
      <c r="Z70" s="18" t="str">
        <f t="shared" si="3"/>
        <v>○</v>
      </c>
      <c r="AA70" s="20"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106" t="str">
        <f>IF(B71="既設病床",はじめに入力してください!$K$12,IF(B71="新設病床",はじめに入力してください!$K$13,IF(B71="共通使用",1,"")))</f>
        <v/>
      </c>
      <c r="Y71" s="16">
        <v>42</v>
      </c>
      <c r="Z71" s="18" t="str">
        <f t="shared" si="3"/>
        <v>○</v>
      </c>
      <c r="AA71" s="20"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106" t="str">
        <f>IF(B72="既設病床",はじめに入力してください!$K$12,IF(B72="新設病床",はじめに入力してください!$K$13,IF(B72="共通使用",1,"")))</f>
        <v/>
      </c>
      <c r="Y72" s="16">
        <v>43</v>
      </c>
      <c r="Z72" s="18" t="str">
        <f t="shared" si="3"/>
        <v>○</v>
      </c>
      <c r="AA72" s="20"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106" t="str">
        <f>IF(B73="既設病床",はじめに入力してください!$K$12,IF(B73="新設病床",はじめに入力してください!$K$13,IF(B73="共通使用",1,"")))</f>
        <v/>
      </c>
      <c r="Y73" s="16">
        <v>44</v>
      </c>
      <c r="Z73" s="18" t="str">
        <f t="shared" si="3"/>
        <v>○</v>
      </c>
      <c r="AA73" s="20"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106" t="str">
        <f>IF(B74="既設病床",はじめに入力してください!$K$12,IF(B74="新設病床",はじめに入力してください!$K$13,IF(B74="共通使用",1,"")))</f>
        <v/>
      </c>
      <c r="Y74" s="16">
        <v>45</v>
      </c>
      <c r="Z74" s="18" t="str">
        <f t="shared" si="3"/>
        <v>○</v>
      </c>
      <c r="AA74" s="20" t="str">
        <f t="shared" si="4"/>
        <v>整備しない場合は入力不要です。</v>
      </c>
    </row>
  </sheetData>
  <sheetProtection algorithmName="SHA-512" hashValue="nmhCKVhz5bjk91ZJftx7y65+y0UsMVGyc7SRhuTjMAfvRBamdVSXJ4HP8R8ioEeqe8+fi6SBcdTV0t3tMANsig==" saltValue="o0Azi2SdCvTjEC6qK1YYtw==" spinCount="100000" sheet="1" objects="1" scenarios="1"/>
  <mergeCells count="21">
    <mergeCell ref="B2:D3"/>
    <mergeCell ref="K1:M1"/>
    <mergeCell ref="E9:L9"/>
    <mergeCell ref="B14:L14"/>
    <mergeCell ref="B15:L15"/>
    <mergeCell ref="B10:L10"/>
    <mergeCell ref="B13:L13"/>
    <mergeCell ref="B26:L26"/>
    <mergeCell ref="B18:L21"/>
    <mergeCell ref="B22:L22"/>
    <mergeCell ref="B28:D28"/>
    <mergeCell ref="E28:F28"/>
    <mergeCell ref="G28:J28"/>
    <mergeCell ref="K28:K29"/>
    <mergeCell ref="L28:L29"/>
    <mergeCell ref="Z27:Z28"/>
    <mergeCell ref="Z7:Z8"/>
    <mergeCell ref="AA7:AA8"/>
    <mergeCell ref="AA27:AA28"/>
    <mergeCell ref="Z3:Z5"/>
    <mergeCell ref="AA3:AA5"/>
  </mergeCells>
  <phoneticPr fontId="5"/>
  <conditionalFormatting sqref="Z29:Z1048576 Z1:Z4 Z9:Z21 Z6:Z7 Z23:Z27">
    <cfRule type="containsText" dxfId="63" priority="4" operator="containsText" text="×">
      <formula>NOT(ISERROR(SEARCH("×",Z1)))</formula>
    </cfRule>
  </conditionalFormatting>
  <conditionalFormatting sqref="AA1:AA4 AA9:AA21 AA29:AA1048576 AA6:AA7 AA23:AA27">
    <cfRule type="containsText" dxfId="62" priority="3" operator="containsText" text="要修正">
      <formula>NOT(ISERROR(SEARCH("要修正",AA1)))</formula>
    </cfRule>
  </conditionalFormatting>
  <conditionalFormatting sqref="Z22">
    <cfRule type="containsText" dxfId="61" priority="2" operator="containsText" text="×">
      <formula>NOT(ISERROR(SEARCH("×",Z22)))</formula>
    </cfRule>
  </conditionalFormatting>
  <conditionalFormatting sqref="AA22">
    <cfRule type="containsText" dxfId="60" priority="1" operator="containsText" text="要修正">
      <formula>NOT(ISERROR(SEARCH("要修正",AA22)))</formula>
    </cfRule>
  </conditionalFormatting>
  <dataValidations xWindow="584" yWindow="342" count="8">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0E00-000000000000}">
      <formula1>"補助対象,補助対象外"</formula1>
    </dataValidation>
    <dataValidation allowBlank="1" showInputMessage="1" showErrorMessage="1" promptTitle="金額の表示" prompt="数式が入力されているため、自動計算されます。" sqref="K30:K74 I30:I74" xr:uid="{00000000-0002-0000-0E00-000001000000}"/>
    <dataValidation allowBlank="1" showInputMessage="1" showErrorMessage="1" promptTitle="添付書類番号" prompt="種類、規格、数量、単価が全て適切に入力され、右の「判定」が「◎」と表示されると自動で番号が表示されます。" sqref="L30:L74" xr:uid="{00000000-0002-0000-0E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0E00-000003000000}"/>
    <dataValidation allowBlank="1" showInputMessage="1" showErrorMessage="1" promptTitle="規格及び数量の入力" prompt="補助対象経費を計上する際、いずれも入力してください。" sqref="E30:F74" xr:uid="{00000000-0002-0000-0E00-000004000000}"/>
    <dataValidation allowBlank="1" showInputMessage="1" showErrorMessage="1" promptTitle="補助対象金額" prompt="補助対象額×（見積書金額-割引額）/見積書金額_x000a_で算出されます。" sqref="J3" xr:uid="{00000000-0002-0000-0E00-000005000000}"/>
    <dataValidation allowBlank="1" showInputMessage="1" showErrorMessage="1" promptTitle="割引額がある場合は入力" prompt="割引がない場合は「0円」のままとしてください。" sqref="I3" xr:uid="{00000000-0002-0000-0E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0E00-000007000000}">
      <formula1>"設備,備品,その他"</formula1>
    </dataValidation>
  </dataValidations>
  <pageMargins left="0.7" right="0.7" top="0.75" bottom="0.75" header="0.3" footer="0.3"/>
  <pageSetup paperSize="9" scale="53" orientation="portrait" r:id="rId1"/>
  <drawing r:id="rId2"/>
  <legacyDrawing r:id="rId3"/>
  <extLst>
    <ext xmlns:x14="http://schemas.microsoft.com/office/spreadsheetml/2009/9/main" uri="{CCE6A557-97BC-4b89-ADB6-D9C93CAAB3DF}">
      <x14:dataValidations xmlns:xm="http://schemas.microsoft.com/office/excel/2006/main" xWindow="584" yWindow="342" count="3">
        <x14:dataValidation type="list" allowBlank="1" showInputMessage="1" showErrorMessage="1" xr:uid="{00000000-0002-0000-0E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0E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0E00-00000A000000}">
          <x14:formula1>
            <xm:f>OFFSET(テーブル!$W$48, 0, MATCH(B30,テーブル!$X$47:$Y$47,0), COUNTA(OFFSET(テーブル!$W$48,0,MATCH(B30,テーブル!$X$47:$Y$47,0),$W$30,1)),1)</xm:f>
          </x14:formula1>
          <xm:sqref>C30:C74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F74"/>
  <sheetViews>
    <sheetView showGridLines="0" view="pageBreakPreview" topLeftCell="B13" zoomScale="70" zoomScaleNormal="80" zoomScaleSheetLayoutView="7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459</v>
      </c>
      <c r="C2" s="865"/>
      <c r="D2" s="866"/>
      <c r="H2" s="303" t="s">
        <v>631</v>
      </c>
      <c r="I2" s="105" t="s">
        <v>632</v>
      </c>
      <c r="J2" s="303" t="s">
        <v>63</v>
      </c>
      <c r="L2" s="105" t="str">
        <f>VLOOKUP(B2,テーブル!H37:J51,3,FALSE)</f>
        <v>様式2-2</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100" customHeight="1">
      <c r="A14" s="21"/>
      <c r="B14" s="875" t="str">
        <f>VLOOKUP(B2,テーブル!H37:I51,2,FALSE)</f>
        <v>（例）これまで確保病床全○床の内、○床分について人工呼吸器が配備されており、第７波以前は既存配備で充足できていた。
　しかし第○波では付近の高齢者施設で集団感染が発生し人工呼吸器の使用が必要な患者が多数発生、満床ではない中で配備数の限界から断らざるを得ない事態が生じた。
　感染者数が落ち着いた現在においても、重篤な呼吸器症状を抱えた高齢者の入院受け入れの件数増加が以前に増して顕著な傾向が見られ、配備されている人工呼吸器はそのほぼ全てが稼働状態であり、呼吸困難症状を呈する入院患者の新規受け入れ要請が今後あった場合断らざるを得ないことを鑑み、過去の受け入れ困難時の状況を踏まえ○台の追加整備を行いたい。</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Xz3/s8utDUaGxb9mDqjMTUn7Zf54kzCN3COn/v6VREe8xT7JN8HtcUeJSqSiU6Fp3n2Ki4yFEsc4zGQFZGA7YA==" saltValue="5OWLtJfa/fXU5eWdRNdqlg=="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59" priority="4" operator="containsText" text="×">
      <formula>NOT(ISERROR(SEARCH("×",Z1)))</formula>
    </cfRule>
  </conditionalFormatting>
  <conditionalFormatting sqref="AA1:AA4 AA9:AA21 AA29:AA1048576 AA6:AA7 AA23:AA27">
    <cfRule type="containsText" dxfId="58" priority="3" operator="containsText" text="要修正">
      <formula>NOT(ISERROR(SEARCH("要修正",AA1)))</formula>
    </cfRule>
  </conditionalFormatting>
  <conditionalFormatting sqref="Z22">
    <cfRule type="containsText" dxfId="57" priority="2" operator="containsText" text="×">
      <formula>NOT(ISERROR(SEARCH("×",Z22)))</formula>
    </cfRule>
  </conditionalFormatting>
  <conditionalFormatting sqref="AA22">
    <cfRule type="containsText" dxfId="56" priority="1" operator="containsText" text="要修正">
      <formula>NOT(ISERROR(SEARCH("要修正",AA22)))</formula>
    </cfRule>
  </conditionalFormatting>
  <dataValidations xWindow="402" yWindow="610" count="8">
    <dataValidation allowBlank="1" showInputMessage="1" showErrorMessage="1" promptTitle="割引額がある場合は入力" prompt="割引がない場合は「0円」のままとしてください。" sqref="I3" xr:uid="{00000000-0002-0000-0F00-000000000000}"/>
    <dataValidation allowBlank="1" showInputMessage="1" showErrorMessage="1" promptTitle="補助対象金額" prompt="補助対象額×（見積書金額-割引額）/見積書金額_x000a_で算出されます。" sqref="J3" xr:uid="{00000000-0002-0000-0F00-000001000000}"/>
    <dataValidation allowBlank="1" showInputMessage="1" showErrorMessage="1" promptTitle="規格及び数量の入力" prompt="補助対象経費を計上する際、いずれも入力してください。" sqref="E30:F74" xr:uid="{00000000-0002-0000-0F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0F00-000003000000}"/>
    <dataValidation allowBlank="1" showInputMessage="1" showErrorMessage="1" promptTitle="添付書類番号" prompt="種類、規格、数量、単価が全て適切に入力され、右の「判定」が「◎」と表示されると自動で番号が表示されます。" sqref="L30:L74" xr:uid="{00000000-0002-0000-0F00-000004000000}"/>
    <dataValidation allowBlank="1" showInputMessage="1" showErrorMessage="1" promptTitle="金額の表示" prompt="数式が入力されているため、自動計算されます。" sqref="K30:K74 I30:I74" xr:uid="{00000000-0002-0000-0F00-00000500000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0F00-000006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0F00-000007000000}">
      <formula1>"設備,備品,その他"</formula1>
    </dataValidation>
  </dataValidations>
  <pageMargins left="0.7" right="0.7" top="0.75" bottom="0.75" header="0.3" footer="0.3"/>
  <pageSetup paperSize="9" scale="53" orientation="portrait" r:id="rId1"/>
  <drawing r:id="rId2"/>
  <legacyDrawing r:id="rId3"/>
  <extLst>
    <ext xmlns:x14="http://schemas.microsoft.com/office/spreadsheetml/2009/9/main" uri="{CCE6A557-97BC-4b89-ADB6-D9C93CAAB3DF}">
      <x14:dataValidations xmlns:xm="http://schemas.microsoft.com/office/excel/2006/main" xWindow="402" yWindow="610" count="3">
        <x14:dataValidation type="list" allowBlank="1" showInputMessage="1" showErrorMessage="1" xr:uid="{00000000-0002-0000-0F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0F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0F00-00000A000000}">
          <x14:formula1>
            <xm:f>OFFSET(テーブル!$W$48, 0, MATCH(B30,テーブル!$X$47:$Y$47,0), COUNTA(OFFSET(テーブル!$W$48,0,MATCH(B30,テーブル!$X$47:$Y$47,0),$W$30,1)),1)</xm:f>
          </x14:formula1>
          <xm:sqref>C30:C74</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T128"/>
  <sheetViews>
    <sheetView showGridLines="0" view="pageBreakPreview" zoomScale="30" zoomScaleNormal="100" zoomScaleSheetLayoutView="30" workbookViewId="0">
      <selection activeCell="F17" sqref="F17"/>
    </sheetView>
  </sheetViews>
  <sheetFormatPr defaultColWidth="9" defaultRowHeight="20.149999999999999" customHeight="1"/>
  <cols>
    <col min="1" max="1" width="3.58203125" style="38" customWidth="1"/>
    <col min="2" max="2" width="15.58203125" style="39" customWidth="1"/>
    <col min="3" max="4" width="10.58203125" style="39" customWidth="1"/>
    <col min="5" max="5" width="10.58203125" style="40" customWidth="1"/>
    <col min="6" max="6" width="7.08203125" style="41" customWidth="1"/>
    <col min="7" max="7" width="7.08203125" style="42" customWidth="1"/>
    <col min="8" max="8" width="11.58203125" style="42" customWidth="1"/>
    <col min="9" max="10" width="12.58203125" style="42" customWidth="1"/>
    <col min="11" max="11" width="9" style="42"/>
    <col min="12" max="12" width="15.58203125" style="42" customWidth="1"/>
    <col min="13" max="13" width="2.58203125" style="42" customWidth="1"/>
    <col min="14" max="15" width="30.58203125" style="43" customWidth="1"/>
    <col min="16" max="16" width="40.58203125" style="43" customWidth="1"/>
    <col min="17" max="18" width="30.58203125" style="43" hidden="1" customWidth="1"/>
    <col min="19" max="22" width="12.58203125" style="43" hidden="1" customWidth="1"/>
    <col min="23" max="28" width="9" style="43"/>
    <col min="29" max="29" width="3.58203125" style="44" customWidth="1"/>
    <col min="30" max="30" width="9" style="45"/>
    <col min="31" max="31" width="9" style="43"/>
    <col min="32" max="32" width="90.58203125" style="43" customWidth="1"/>
    <col min="33" max="37" width="9" style="43"/>
    <col min="38" max="38" width="30.58203125" style="43" customWidth="1"/>
    <col min="39" max="40" width="9" style="43"/>
    <col min="41" max="41" width="60.58203125" style="43" customWidth="1"/>
    <col min="42" max="42" width="9" style="43"/>
    <col min="43" max="43" width="18.58203125" style="43" customWidth="1"/>
    <col min="44" max="45" width="10.58203125" style="43" customWidth="1"/>
    <col min="46" max="16384" width="9" style="43"/>
  </cols>
  <sheetData>
    <row r="1" spans="1:46" ht="15" customHeight="1">
      <c r="K1" s="879" t="str">
        <f>"《２次募集》"&amp;はじめに入力してください!AE20</f>
        <v>《２次募集》</v>
      </c>
      <c r="L1" s="879"/>
      <c r="M1" s="880"/>
    </row>
    <row r="2" spans="1:46" ht="20.149999999999999" customHeight="1">
      <c r="B2" s="46" t="s">
        <v>499</v>
      </c>
      <c r="C2" s="47"/>
      <c r="D2" s="47"/>
      <c r="J2" s="48" t="s">
        <v>500</v>
      </c>
      <c r="K2" s="890">
        <f xml:space="preserve">
IF(AN118="○",0,
IF(AN118="◎",SUM(J13:J112),
IF(AN118="×",0)))</f>
        <v>0</v>
      </c>
      <c r="L2" s="891"/>
    </row>
    <row r="3" spans="1:46" ht="10" customHeight="1">
      <c r="B3" s="47"/>
      <c r="C3" s="47"/>
      <c r="D3" s="47"/>
      <c r="G3" s="50"/>
      <c r="H3" s="51"/>
      <c r="I3" s="49"/>
      <c r="J3" s="49"/>
      <c r="K3" s="49"/>
      <c r="L3" s="49"/>
    </row>
    <row r="4" spans="1:46" ht="25" customHeight="1">
      <c r="A4" s="52" t="s">
        <v>501</v>
      </c>
      <c r="B4" s="53"/>
      <c r="C4" s="53"/>
      <c r="D4" s="53"/>
      <c r="E4" s="54"/>
      <c r="F4" s="55"/>
      <c r="G4" s="56"/>
      <c r="H4" s="57"/>
      <c r="I4" s="58"/>
      <c r="J4" s="58"/>
      <c r="K4" s="58"/>
      <c r="L4" s="58"/>
      <c r="M4" s="59"/>
    </row>
    <row r="5" spans="1:46" ht="60" customHeight="1">
      <c r="A5" s="892" t="s">
        <v>834</v>
      </c>
      <c r="B5" s="893"/>
      <c r="C5" s="893"/>
      <c r="D5" s="893"/>
      <c r="E5" s="893"/>
      <c r="F5" s="893"/>
      <c r="G5" s="893"/>
      <c r="H5" s="893"/>
      <c r="I5" s="893"/>
      <c r="J5" s="893"/>
      <c r="K5" s="389"/>
      <c r="L5" s="389"/>
    </row>
    <row r="6" spans="1:46" ht="20.149999999999999" customHeight="1">
      <c r="A6" s="48">
        <v>1</v>
      </c>
      <c r="B6" s="60" t="s">
        <v>502</v>
      </c>
      <c r="C6" s="97"/>
      <c r="D6" s="61"/>
      <c r="E6" s="881" t="s">
        <v>503</v>
      </c>
      <c r="F6" s="882"/>
      <c r="G6" s="882"/>
      <c r="H6" s="62"/>
      <c r="I6" s="62"/>
      <c r="J6" s="62"/>
      <c r="K6" s="62"/>
      <c r="L6" s="62"/>
      <c r="AG6" s="63"/>
      <c r="AH6" s="63"/>
      <c r="AI6" s="63"/>
      <c r="AJ6" s="63"/>
    </row>
    <row r="7" spans="1:46" ht="20.149999999999999" customHeight="1">
      <c r="A7" s="48">
        <v>2</v>
      </c>
      <c r="B7" s="60" t="s">
        <v>504</v>
      </c>
      <c r="C7" s="98"/>
      <c r="D7" s="61"/>
      <c r="E7" s="64" t="s">
        <v>505</v>
      </c>
      <c r="F7" s="883"/>
      <c r="G7" s="884"/>
      <c r="H7" s="908" t="s">
        <v>506</v>
      </c>
      <c r="I7" s="909"/>
      <c r="J7" s="607"/>
      <c r="K7" s="62"/>
      <c r="L7" s="62"/>
      <c r="AG7" s="65"/>
      <c r="AH7" s="66"/>
      <c r="AI7" s="66"/>
      <c r="AJ7" s="66"/>
    </row>
    <row r="8" spans="1:46" ht="20.149999999999999" customHeight="1">
      <c r="A8" s="48">
        <v>3</v>
      </c>
      <c r="B8" s="67" t="s">
        <v>507</v>
      </c>
      <c r="C8" s="68">
        <f>C6*C7</f>
        <v>0</v>
      </c>
      <c r="D8" s="69"/>
      <c r="E8" s="64" t="s">
        <v>508</v>
      </c>
      <c r="F8" s="885">
        <f>ROUNDUP(F7/1.1,2)</f>
        <v>0</v>
      </c>
      <c r="G8" s="886"/>
      <c r="H8" s="910"/>
      <c r="I8" s="909"/>
      <c r="J8" s="607"/>
      <c r="K8" s="43"/>
      <c r="L8" s="43"/>
      <c r="S8" s="61"/>
      <c r="T8" s="61"/>
      <c r="U8" s="61"/>
      <c r="V8" s="61"/>
      <c r="AG8" s="66"/>
      <c r="AH8" s="66"/>
      <c r="AI8" s="66"/>
      <c r="AJ8" s="66"/>
    </row>
    <row r="9" spans="1:46" ht="15" customHeight="1">
      <c r="A9" s="70"/>
      <c r="B9" s="71"/>
      <c r="C9" s="72"/>
      <c r="D9" s="69"/>
      <c r="E9" s="92" t="s">
        <v>509</v>
      </c>
      <c r="F9" s="73"/>
      <c r="G9" s="74"/>
      <c r="H9" s="43"/>
      <c r="I9" s="43"/>
      <c r="J9" s="43"/>
      <c r="K9" s="43"/>
      <c r="L9" s="43"/>
      <c r="S9" s="61"/>
      <c r="T9" s="61"/>
      <c r="U9" s="61"/>
      <c r="V9" s="61"/>
      <c r="AG9" s="66"/>
      <c r="AH9" s="66"/>
      <c r="AI9" s="66"/>
      <c r="AJ9" s="66"/>
    </row>
    <row r="10" spans="1:46" ht="25" customHeight="1">
      <c r="A10" s="894" t="s">
        <v>510</v>
      </c>
      <c r="B10" s="895"/>
      <c r="C10" s="75"/>
      <c r="D10" s="75"/>
      <c r="E10" s="54"/>
      <c r="F10" s="55"/>
      <c r="G10" s="59"/>
      <c r="H10" s="76"/>
      <c r="I10" s="76"/>
      <c r="J10" s="76"/>
      <c r="K10" s="76"/>
      <c r="L10" s="76"/>
      <c r="M10" s="59"/>
      <c r="S10" s="61"/>
      <c r="T10" s="61"/>
      <c r="U10" s="61"/>
      <c r="V10" s="61"/>
      <c r="AG10" s="63"/>
      <c r="AH10" s="63"/>
      <c r="AI10" s="63"/>
      <c r="AJ10" s="63"/>
      <c r="AP10" s="61"/>
      <c r="AQ10" s="62"/>
      <c r="AR10" s="62"/>
      <c r="AS10" s="62"/>
      <c r="AT10" s="62"/>
    </row>
    <row r="11" spans="1:46" ht="80.150000000000006" customHeight="1">
      <c r="A11" s="896" t="s">
        <v>819</v>
      </c>
      <c r="B11" s="897"/>
      <c r="C11" s="897"/>
      <c r="D11" s="897"/>
      <c r="E11" s="897"/>
      <c r="F11" s="897"/>
      <c r="G11" s="897"/>
      <c r="H11" s="897"/>
      <c r="I11" s="897"/>
      <c r="J11" s="897"/>
      <c r="K11" s="897"/>
      <c r="L11" s="77"/>
      <c r="S11" s="61"/>
      <c r="T11" s="61"/>
      <c r="U11" s="61"/>
      <c r="V11" s="61"/>
      <c r="AG11" s="63"/>
      <c r="AH11" s="63"/>
      <c r="AI11" s="63"/>
      <c r="AJ11" s="63"/>
      <c r="AP11" s="61"/>
      <c r="AQ11" s="62"/>
      <c r="AR11" s="62"/>
      <c r="AS11" s="62"/>
      <c r="AT11" s="62"/>
    </row>
    <row r="12" spans="1:46" ht="18">
      <c r="B12" s="78" t="s">
        <v>511</v>
      </c>
      <c r="C12" s="898" t="s">
        <v>531</v>
      </c>
      <c r="D12" s="899"/>
      <c r="E12" s="900"/>
      <c r="F12" s="78" t="s">
        <v>512</v>
      </c>
      <c r="G12" s="78" t="s">
        <v>68</v>
      </c>
      <c r="H12" s="78" t="s">
        <v>69</v>
      </c>
      <c r="I12" s="78" t="s">
        <v>70</v>
      </c>
      <c r="J12" s="78" t="s">
        <v>71</v>
      </c>
      <c r="K12" s="78" t="s">
        <v>513</v>
      </c>
      <c r="L12" s="78" t="s">
        <v>514</v>
      </c>
      <c r="AD12" s="79" t="s">
        <v>515</v>
      </c>
      <c r="AE12" s="80" t="s">
        <v>128</v>
      </c>
      <c r="AF12" s="79" t="s">
        <v>516</v>
      </c>
      <c r="AG12" s="81"/>
      <c r="AH12" s="82" t="s">
        <v>68</v>
      </c>
      <c r="AI12" s="63"/>
      <c r="AJ12" s="63"/>
      <c r="AP12" s="61"/>
      <c r="AQ12" s="62"/>
      <c r="AR12" s="62"/>
      <c r="AS12" s="62"/>
      <c r="AT12" s="62"/>
    </row>
    <row r="13" spans="1:46" ht="20.149999999999999" customHeight="1">
      <c r="A13" s="38">
        <v>1</v>
      </c>
      <c r="B13" s="99"/>
      <c r="C13" s="887"/>
      <c r="D13" s="888"/>
      <c r="E13" s="889"/>
      <c r="F13" s="100"/>
      <c r="G13" s="100"/>
      <c r="H13" s="101"/>
      <c r="I13" s="83">
        <f>ROUNDDOWN(H13*1.1,0)</f>
        <v>0</v>
      </c>
      <c r="J13" s="84">
        <f>ROUNDDOWN(G13*I13,0)</f>
        <v>0</v>
      </c>
      <c r="K13" s="85" t="str">
        <f>IF(AE13="◎","－","")</f>
        <v/>
      </c>
      <c r="L13" s="85"/>
      <c r="AC13" s="44" t="s">
        <v>517</v>
      </c>
      <c r="AD13" s="86">
        <v>1</v>
      </c>
      <c r="AE13" s="82" t="str">
        <f t="shared" ref="AE13:AE44" si="0" xml:space="preserve">
IF(COUNTA(B13:H13)=0,"○",
IF(AND(COUNTA(B13:H13)&gt;=1,COUNTA(B13:H13)&lt;5),"×",
IF(COUNTA(B13:H13)=5,"◎")))</f>
        <v>○</v>
      </c>
      <c r="AF13" s="87" t="str">
        <f t="shared" ref="AF13:AF44" si="1" xml:space="preserve">
IF(COUNTA(B13:H13)=0,"申請しない場合は入力不要です。",
IF(AND(COUNTA(B13:H13)&gt;=1,COUNTA(B13:H13)&lt;5),"【要修正】種類、品名、内容量、数量、税抜単価の内、未入力の箇所があります。",
IF(COUNTA(B13:H13)=5,"適切に入力がされました。")))</f>
        <v>申請しない場合は入力不要です。</v>
      </c>
      <c r="AH13" s="87">
        <f t="shared" ref="AH13:AH44" si="2">F13*G13</f>
        <v>0</v>
      </c>
    </row>
    <row r="14" spans="1:46" ht="20.149999999999999" customHeight="1">
      <c r="A14" s="38">
        <v>2</v>
      </c>
      <c r="B14" s="99"/>
      <c r="C14" s="887"/>
      <c r="D14" s="888"/>
      <c r="E14" s="889"/>
      <c r="F14" s="100"/>
      <c r="G14" s="100"/>
      <c r="H14" s="101"/>
      <c r="I14" s="83">
        <f t="shared" ref="I14:I77" si="3">ROUNDDOWN(H14*1.1,0)</f>
        <v>0</v>
      </c>
      <c r="J14" s="84">
        <f t="shared" ref="J14:J77" si="4">ROUNDDOWN(G14*I14,0)</f>
        <v>0</v>
      </c>
      <c r="K14" s="85" t="str">
        <f t="shared" ref="K14:K77" si="5">IF(AE14="◎","－","")</f>
        <v/>
      </c>
      <c r="L14" s="85"/>
      <c r="AC14" s="44" t="s">
        <v>517</v>
      </c>
      <c r="AD14" s="86">
        <v>2</v>
      </c>
      <c r="AE14" s="82" t="str">
        <f t="shared" si="0"/>
        <v>○</v>
      </c>
      <c r="AF14" s="87" t="str">
        <f t="shared" si="1"/>
        <v>申請しない場合は入力不要です。</v>
      </c>
      <c r="AH14" s="87">
        <f t="shared" si="2"/>
        <v>0</v>
      </c>
    </row>
    <row r="15" spans="1:46" ht="20.149999999999999" customHeight="1">
      <c r="A15" s="38">
        <v>3</v>
      </c>
      <c r="B15" s="99"/>
      <c r="C15" s="887"/>
      <c r="D15" s="888"/>
      <c r="E15" s="889"/>
      <c r="F15" s="100"/>
      <c r="G15" s="100"/>
      <c r="H15" s="101"/>
      <c r="I15" s="83">
        <f t="shared" si="3"/>
        <v>0</v>
      </c>
      <c r="J15" s="84">
        <f t="shared" si="4"/>
        <v>0</v>
      </c>
      <c r="K15" s="85" t="str">
        <f t="shared" si="5"/>
        <v/>
      </c>
      <c r="L15" s="85"/>
      <c r="AC15" s="44" t="s">
        <v>517</v>
      </c>
      <c r="AD15" s="86">
        <v>3</v>
      </c>
      <c r="AE15" s="82" t="str">
        <f t="shared" si="0"/>
        <v>○</v>
      </c>
      <c r="AF15" s="87" t="str">
        <f t="shared" si="1"/>
        <v>申請しない場合は入力不要です。</v>
      </c>
      <c r="AH15" s="87">
        <f t="shared" si="2"/>
        <v>0</v>
      </c>
    </row>
    <row r="16" spans="1:46" ht="20.149999999999999" customHeight="1">
      <c r="A16" s="38">
        <v>4</v>
      </c>
      <c r="B16" s="99"/>
      <c r="C16" s="887"/>
      <c r="D16" s="888"/>
      <c r="E16" s="889"/>
      <c r="F16" s="100"/>
      <c r="G16" s="100"/>
      <c r="H16" s="101"/>
      <c r="I16" s="83">
        <f t="shared" si="3"/>
        <v>0</v>
      </c>
      <c r="J16" s="84">
        <f t="shared" si="4"/>
        <v>0</v>
      </c>
      <c r="K16" s="85" t="str">
        <f t="shared" si="5"/>
        <v/>
      </c>
      <c r="L16" s="85"/>
      <c r="AC16" s="44" t="s">
        <v>517</v>
      </c>
      <c r="AD16" s="86">
        <v>4</v>
      </c>
      <c r="AE16" s="82" t="str">
        <f t="shared" si="0"/>
        <v>○</v>
      </c>
      <c r="AF16" s="87" t="str">
        <f t="shared" si="1"/>
        <v>申請しない場合は入力不要です。</v>
      </c>
      <c r="AH16" s="87">
        <f t="shared" si="2"/>
        <v>0</v>
      </c>
    </row>
    <row r="17" spans="1:34" ht="20.149999999999999" customHeight="1">
      <c r="A17" s="38">
        <v>5</v>
      </c>
      <c r="B17" s="99"/>
      <c r="C17" s="887"/>
      <c r="D17" s="888"/>
      <c r="E17" s="889"/>
      <c r="F17" s="100"/>
      <c r="G17" s="100"/>
      <c r="H17" s="101"/>
      <c r="I17" s="83">
        <f t="shared" si="3"/>
        <v>0</v>
      </c>
      <c r="J17" s="84">
        <f t="shared" si="4"/>
        <v>0</v>
      </c>
      <c r="K17" s="85" t="str">
        <f t="shared" si="5"/>
        <v/>
      </c>
      <c r="L17" s="85"/>
      <c r="AC17" s="44" t="s">
        <v>517</v>
      </c>
      <c r="AD17" s="86">
        <v>5</v>
      </c>
      <c r="AE17" s="82" t="str">
        <f t="shared" si="0"/>
        <v>○</v>
      </c>
      <c r="AF17" s="87" t="str">
        <f t="shared" si="1"/>
        <v>申請しない場合は入力不要です。</v>
      </c>
      <c r="AH17" s="87">
        <f t="shared" si="2"/>
        <v>0</v>
      </c>
    </row>
    <row r="18" spans="1:34" ht="20.149999999999999" customHeight="1">
      <c r="A18" s="38">
        <v>6</v>
      </c>
      <c r="B18" s="99"/>
      <c r="C18" s="887"/>
      <c r="D18" s="888"/>
      <c r="E18" s="889"/>
      <c r="F18" s="100"/>
      <c r="G18" s="100"/>
      <c r="H18" s="101"/>
      <c r="I18" s="83">
        <f t="shared" si="3"/>
        <v>0</v>
      </c>
      <c r="J18" s="84">
        <f t="shared" si="4"/>
        <v>0</v>
      </c>
      <c r="K18" s="85" t="str">
        <f t="shared" si="5"/>
        <v/>
      </c>
      <c r="L18" s="85"/>
      <c r="AC18" s="44" t="s">
        <v>517</v>
      </c>
      <c r="AD18" s="86">
        <v>6</v>
      </c>
      <c r="AE18" s="82" t="str">
        <f t="shared" si="0"/>
        <v>○</v>
      </c>
      <c r="AF18" s="87" t="str">
        <f t="shared" si="1"/>
        <v>申請しない場合は入力不要です。</v>
      </c>
      <c r="AH18" s="87">
        <f t="shared" si="2"/>
        <v>0</v>
      </c>
    </row>
    <row r="19" spans="1:34" ht="20.149999999999999" customHeight="1">
      <c r="A19" s="38">
        <v>7</v>
      </c>
      <c r="B19" s="99"/>
      <c r="C19" s="887"/>
      <c r="D19" s="888"/>
      <c r="E19" s="889"/>
      <c r="F19" s="100"/>
      <c r="G19" s="100"/>
      <c r="H19" s="101"/>
      <c r="I19" s="83">
        <f t="shared" si="3"/>
        <v>0</v>
      </c>
      <c r="J19" s="84">
        <f t="shared" si="4"/>
        <v>0</v>
      </c>
      <c r="K19" s="85" t="str">
        <f t="shared" si="5"/>
        <v/>
      </c>
      <c r="L19" s="85"/>
      <c r="AC19" s="44" t="s">
        <v>517</v>
      </c>
      <c r="AD19" s="86">
        <v>7</v>
      </c>
      <c r="AE19" s="82" t="str">
        <f t="shared" si="0"/>
        <v>○</v>
      </c>
      <c r="AF19" s="87" t="str">
        <f t="shared" si="1"/>
        <v>申請しない場合は入力不要です。</v>
      </c>
      <c r="AH19" s="87">
        <f t="shared" si="2"/>
        <v>0</v>
      </c>
    </row>
    <row r="20" spans="1:34" ht="20.149999999999999" customHeight="1">
      <c r="A20" s="38">
        <v>8</v>
      </c>
      <c r="B20" s="99"/>
      <c r="C20" s="887"/>
      <c r="D20" s="888"/>
      <c r="E20" s="889"/>
      <c r="F20" s="100"/>
      <c r="G20" s="100"/>
      <c r="H20" s="101"/>
      <c r="I20" s="83">
        <f t="shared" si="3"/>
        <v>0</v>
      </c>
      <c r="J20" s="84">
        <f t="shared" si="4"/>
        <v>0</v>
      </c>
      <c r="K20" s="85" t="str">
        <f t="shared" si="5"/>
        <v/>
      </c>
      <c r="L20" s="85"/>
      <c r="T20" s="62"/>
      <c r="U20" s="62"/>
      <c r="V20" s="62"/>
      <c r="AC20" s="44" t="s">
        <v>517</v>
      </c>
      <c r="AD20" s="86">
        <v>8</v>
      </c>
      <c r="AE20" s="82" t="str">
        <f t="shared" si="0"/>
        <v>○</v>
      </c>
      <c r="AF20" s="87" t="str">
        <f t="shared" si="1"/>
        <v>申請しない場合は入力不要です。</v>
      </c>
      <c r="AH20" s="87">
        <f t="shared" si="2"/>
        <v>0</v>
      </c>
    </row>
    <row r="21" spans="1:34" ht="20.149999999999999" customHeight="1">
      <c r="A21" s="38">
        <v>9</v>
      </c>
      <c r="B21" s="99"/>
      <c r="C21" s="887"/>
      <c r="D21" s="888"/>
      <c r="E21" s="889"/>
      <c r="F21" s="100"/>
      <c r="G21" s="100"/>
      <c r="H21" s="101"/>
      <c r="I21" s="83">
        <f t="shared" si="3"/>
        <v>0</v>
      </c>
      <c r="J21" s="84">
        <f t="shared" si="4"/>
        <v>0</v>
      </c>
      <c r="K21" s="85" t="str">
        <f t="shared" si="5"/>
        <v/>
      </c>
      <c r="L21" s="85"/>
      <c r="AC21" s="44" t="s">
        <v>517</v>
      </c>
      <c r="AD21" s="86">
        <v>9</v>
      </c>
      <c r="AE21" s="82" t="str">
        <f t="shared" si="0"/>
        <v>○</v>
      </c>
      <c r="AF21" s="87" t="str">
        <f t="shared" si="1"/>
        <v>申請しない場合は入力不要です。</v>
      </c>
      <c r="AH21" s="87">
        <f t="shared" si="2"/>
        <v>0</v>
      </c>
    </row>
    <row r="22" spans="1:34" ht="20.149999999999999" customHeight="1">
      <c r="A22" s="38">
        <v>10</v>
      </c>
      <c r="B22" s="99"/>
      <c r="C22" s="887"/>
      <c r="D22" s="888"/>
      <c r="E22" s="889"/>
      <c r="F22" s="100"/>
      <c r="G22" s="100"/>
      <c r="H22" s="101"/>
      <c r="I22" s="83">
        <f t="shared" si="3"/>
        <v>0</v>
      </c>
      <c r="J22" s="84">
        <f>ROUNDDOWN(G22*I22,0)</f>
        <v>0</v>
      </c>
      <c r="K22" s="85" t="str">
        <f t="shared" si="5"/>
        <v/>
      </c>
      <c r="L22" s="85"/>
      <c r="AC22" s="44" t="s">
        <v>517</v>
      </c>
      <c r="AD22" s="86">
        <v>10</v>
      </c>
      <c r="AE22" s="82" t="str">
        <f t="shared" si="0"/>
        <v>○</v>
      </c>
      <c r="AF22" s="87" t="str">
        <f t="shared" si="1"/>
        <v>申請しない場合は入力不要です。</v>
      </c>
      <c r="AH22" s="87">
        <f t="shared" si="2"/>
        <v>0</v>
      </c>
    </row>
    <row r="23" spans="1:34" ht="20.149999999999999" customHeight="1">
      <c r="A23" s="38">
        <v>11</v>
      </c>
      <c r="B23" s="99"/>
      <c r="C23" s="887"/>
      <c r="D23" s="888"/>
      <c r="E23" s="889"/>
      <c r="F23" s="100"/>
      <c r="G23" s="100"/>
      <c r="H23" s="101"/>
      <c r="I23" s="83">
        <f t="shared" si="3"/>
        <v>0</v>
      </c>
      <c r="J23" s="84">
        <f t="shared" si="4"/>
        <v>0</v>
      </c>
      <c r="K23" s="85" t="str">
        <f t="shared" si="5"/>
        <v/>
      </c>
      <c r="L23" s="85"/>
      <c r="AC23" s="44" t="s">
        <v>517</v>
      </c>
      <c r="AD23" s="86">
        <v>11</v>
      </c>
      <c r="AE23" s="82" t="str">
        <f t="shared" si="0"/>
        <v>○</v>
      </c>
      <c r="AF23" s="87" t="str">
        <f t="shared" si="1"/>
        <v>申請しない場合は入力不要です。</v>
      </c>
      <c r="AH23" s="87">
        <f t="shared" si="2"/>
        <v>0</v>
      </c>
    </row>
    <row r="24" spans="1:34" ht="20.149999999999999" customHeight="1">
      <c r="A24" s="38">
        <v>12</v>
      </c>
      <c r="B24" s="99"/>
      <c r="C24" s="887"/>
      <c r="D24" s="888"/>
      <c r="E24" s="889"/>
      <c r="F24" s="100"/>
      <c r="G24" s="100"/>
      <c r="H24" s="101"/>
      <c r="I24" s="83">
        <f t="shared" si="3"/>
        <v>0</v>
      </c>
      <c r="J24" s="84">
        <f t="shared" si="4"/>
        <v>0</v>
      </c>
      <c r="K24" s="85" t="str">
        <f t="shared" si="5"/>
        <v/>
      </c>
      <c r="L24" s="85"/>
      <c r="AC24" s="44" t="s">
        <v>517</v>
      </c>
      <c r="AD24" s="86">
        <v>12</v>
      </c>
      <c r="AE24" s="82" t="str">
        <f t="shared" si="0"/>
        <v>○</v>
      </c>
      <c r="AF24" s="87" t="str">
        <f t="shared" si="1"/>
        <v>申請しない場合は入力不要です。</v>
      </c>
      <c r="AH24" s="87">
        <f t="shared" si="2"/>
        <v>0</v>
      </c>
    </row>
    <row r="25" spans="1:34" ht="20.149999999999999" customHeight="1">
      <c r="A25" s="38">
        <v>13</v>
      </c>
      <c r="B25" s="99"/>
      <c r="C25" s="887"/>
      <c r="D25" s="888"/>
      <c r="E25" s="889"/>
      <c r="F25" s="100"/>
      <c r="G25" s="100"/>
      <c r="H25" s="101"/>
      <c r="I25" s="83">
        <f t="shared" si="3"/>
        <v>0</v>
      </c>
      <c r="J25" s="84">
        <f t="shared" si="4"/>
        <v>0</v>
      </c>
      <c r="K25" s="85" t="str">
        <f t="shared" si="5"/>
        <v/>
      </c>
      <c r="L25" s="85"/>
      <c r="AC25" s="44" t="s">
        <v>517</v>
      </c>
      <c r="AD25" s="86">
        <v>13</v>
      </c>
      <c r="AE25" s="82" t="str">
        <f t="shared" si="0"/>
        <v>○</v>
      </c>
      <c r="AF25" s="87" t="str">
        <f t="shared" si="1"/>
        <v>申請しない場合は入力不要です。</v>
      </c>
      <c r="AH25" s="87">
        <f t="shared" si="2"/>
        <v>0</v>
      </c>
    </row>
    <row r="26" spans="1:34" ht="20.149999999999999" customHeight="1">
      <c r="A26" s="38">
        <v>14</v>
      </c>
      <c r="B26" s="99"/>
      <c r="C26" s="887"/>
      <c r="D26" s="888"/>
      <c r="E26" s="889"/>
      <c r="F26" s="100"/>
      <c r="G26" s="100"/>
      <c r="H26" s="101"/>
      <c r="I26" s="83">
        <f t="shared" si="3"/>
        <v>0</v>
      </c>
      <c r="J26" s="84">
        <f t="shared" si="4"/>
        <v>0</v>
      </c>
      <c r="K26" s="85" t="str">
        <f t="shared" si="5"/>
        <v/>
      </c>
      <c r="L26" s="85"/>
      <c r="AC26" s="44" t="s">
        <v>517</v>
      </c>
      <c r="AD26" s="86">
        <v>14</v>
      </c>
      <c r="AE26" s="82" t="str">
        <f t="shared" si="0"/>
        <v>○</v>
      </c>
      <c r="AF26" s="87" t="str">
        <f t="shared" si="1"/>
        <v>申請しない場合は入力不要です。</v>
      </c>
      <c r="AH26" s="87">
        <f t="shared" si="2"/>
        <v>0</v>
      </c>
    </row>
    <row r="27" spans="1:34" ht="20.149999999999999" customHeight="1">
      <c r="A27" s="38">
        <v>15</v>
      </c>
      <c r="B27" s="99"/>
      <c r="C27" s="887"/>
      <c r="D27" s="888"/>
      <c r="E27" s="889"/>
      <c r="F27" s="100"/>
      <c r="G27" s="100"/>
      <c r="H27" s="101"/>
      <c r="I27" s="83">
        <f t="shared" si="3"/>
        <v>0</v>
      </c>
      <c r="J27" s="84">
        <f t="shared" si="4"/>
        <v>0</v>
      </c>
      <c r="K27" s="85" t="str">
        <f t="shared" si="5"/>
        <v/>
      </c>
      <c r="L27" s="85"/>
      <c r="AC27" s="44" t="s">
        <v>517</v>
      </c>
      <c r="AD27" s="86">
        <v>15</v>
      </c>
      <c r="AE27" s="82" t="str">
        <f t="shared" si="0"/>
        <v>○</v>
      </c>
      <c r="AF27" s="87" t="str">
        <f t="shared" si="1"/>
        <v>申請しない場合は入力不要です。</v>
      </c>
      <c r="AH27" s="87">
        <f t="shared" si="2"/>
        <v>0</v>
      </c>
    </row>
    <row r="28" spans="1:34" ht="20.149999999999999" customHeight="1">
      <c r="A28" s="38">
        <v>16</v>
      </c>
      <c r="B28" s="99"/>
      <c r="C28" s="887"/>
      <c r="D28" s="888"/>
      <c r="E28" s="889"/>
      <c r="F28" s="100"/>
      <c r="G28" s="100"/>
      <c r="H28" s="101"/>
      <c r="I28" s="83">
        <f t="shared" si="3"/>
        <v>0</v>
      </c>
      <c r="J28" s="84">
        <f t="shared" si="4"/>
        <v>0</v>
      </c>
      <c r="K28" s="85" t="str">
        <f t="shared" si="5"/>
        <v/>
      </c>
      <c r="L28" s="85"/>
      <c r="AC28" s="44" t="s">
        <v>517</v>
      </c>
      <c r="AD28" s="86">
        <v>16</v>
      </c>
      <c r="AE28" s="82" t="str">
        <f t="shared" si="0"/>
        <v>○</v>
      </c>
      <c r="AF28" s="87" t="str">
        <f t="shared" si="1"/>
        <v>申請しない場合は入力不要です。</v>
      </c>
      <c r="AH28" s="87">
        <f t="shared" si="2"/>
        <v>0</v>
      </c>
    </row>
    <row r="29" spans="1:34" ht="20.149999999999999" customHeight="1">
      <c r="A29" s="38">
        <v>17</v>
      </c>
      <c r="B29" s="99"/>
      <c r="C29" s="887"/>
      <c r="D29" s="888"/>
      <c r="E29" s="889"/>
      <c r="F29" s="100"/>
      <c r="G29" s="100"/>
      <c r="H29" s="101"/>
      <c r="I29" s="83">
        <f t="shared" si="3"/>
        <v>0</v>
      </c>
      <c r="J29" s="84">
        <f t="shared" si="4"/>
        <v>0</v>
      </c>
      <c r="K29" s="85" t="str">
        <f t="shared" si="5"/>
        <v/>
      </c>
      <c r="L29" s="85"/>
      <c r="AC29" s="44" t="s">
        <v>517</v>
      </c>
      <c r="AD29" s="86">
        <v>17</v>
      </c>
      <c r="AE29" s="82" t="str">
        <f t="shared" si="0"/>
        <v>○</v>
      </c>
      <c r="AF29" s="87" t="str">
        <f t="shared" si="1"/>
        <v>申請しない場合は入力不要です。</v>
      </c>
      <c r="AH29" s="87">
        <f t="shared" si="2"/>
        <v>0</v>
      </c>
    </row>
    <row r="30" spans="1:34" ht="20.149999999999999" customHeight="1">
      <c r="A30" s="38">
        <v>18</v>
      </c>
      <c r="B30" s="99"/>
      <c r="C30" s="887"/>
      <c r="D30" s="888"/>
      <c r="E30" s="889"/>
      <c r="F30" s="100"/>
      <c r="G30" s="100"/>
      <c r="H30" s="101"/>
      <c r="I30" s="83">
        <f t="shared" si="3"/>
        <v>0</v>
      </c>
      <c r="J30" s="84">
        <f t="shared" si="4"/>
        <v>0</v>
      </c>
      <c r="K30" s="85" t="str">
        <f t="shared" si="5"/>
        <v/>
      </c>
      <c r="L30" s="85"/>
      <c r="AC30" s="44" t="s">
        <v>517</v>
      </c>
      <c r="AD30" s="86">
        <v>18</v>
      </c>
      <c r="AE30" s="82" t="str">
        <f t="shared" si="0"/>
        <v>○</v>
      </c>
      <c r="AF30" s="87" t="str">
        <f t="shared" si="1"/>
        <v>申請しない場合は入力不要です。</v>
      </c>
      <c r="AH30" s="87">
        <f t="shared" si="2"/>
        <v>0</v>
      </c>
    </row>
    <row r="31" spans="1:34" ht="20.149999999999999" customHeight="1">
      <c r="A31" s="38">
        <v>19</v>
      </c>
      <c r="B31" s="99"/>
      <c r="C31" s="887"/>
      <c r="D31" s="888"/>
      <c r="E31" s="889"/>
      <c r="F31" s="100"/>
      <c r="G31" s="100"/>
      <c r="H31" s="101"/>
      <c r="I31" s="83">
        <f t="shared" si="3"/>
        <v>0</v>
      </c>
      <c r="J31" s="84">
        <f t="shared" si="4"/>
        <v>0</v>
      </c>
      <c r="K31" s="85" t="str">
        <f t="shared" si="5"/>
        <v/>
      </c>
      <c r="L31" s="85"/>
      <c r="AC31" s="44" t="s">
        <v>517</v>
      </c>
      <c r="AD31" s="86">
        <v>19</v>
      </c>
      <c r="AE31" s="82" t="str">
        <f t="shared" si="0"/>
        <v>○</v>
      </c>
      <c r="AF31" s="87" t="str">
        <f t="shared" si="1"/>
        <v>申請しない場合は入力不要です。</v>
      </c>
      <c r="AH31" s="87">
        <f t="shared" si="2"/>
        <v>0</v>
      </c>
    </row>
    <row r="32" spans="1:34" ht="20.149999999999999" customHeight="1">
      <c r="A32" s="38">
        <v>20</v>
      </c>
      <c r="B32" s="99"/>
      <c r="C32" s="887"/>
      <c r="D32" s="888"/>
      <c r="E32" s="889"/>
      <c r="F32" s="100"/>
      <c r="G32" s="100"/>
      <c r="H32" s="101"/>
      <c r="I32" s="83">
        <f t="shared" si="3"/>
        <v>0</v>
      </c>
      <c r="J32" s="84">
        <f t="shared" si="4"/>
        <v>0</v>
      </c>
      <c r="K32" s="85" t="str">
        <f t="shared" si="5"/>
        <v/>
      </c>
      <c r="L32" s="85"/>
      <c r="AC32" s="44" t="s">
        <v>517</v>
      </c>
      <c r="AD32" s="86">
        <v>20</v>
      </c>
      <c r="AE32" s="82" t="str">
        <f t="shared" si="0"/>
        <v>○</v>
      </c>
      <c r="AF32" s="87" t="str">
        <f t="shared" si="1"/>
        <v>申請しない場合は入力不要です。</v>
      </c>
      <c r="AH32" s="87">
        <f t="shared" si="2"/>
        <v>0</v>
      </c>
    </row>
    <row r="33" spans="1:34" ht="20.149999999999999" customHeight="1">
      <c r="A33" s="38">
        <v>21</v>
      </c>
      <c r="B33" s="99"/>
      <c r="C33" s="887"/>
      <c r="D33" s="888"/>
      <c r="E33" s="889"/>
      <c r="F33" s="100"/>
      <c r="G33" s="100"/>
      <c r="H33" s="101"/>
      <c r="I33" s="83">
        <f t="shared" si="3"/>
        <v>0</v>
      </c>
      <c r="J33" s="84">
        <f t="shared" si="4"/>
        <v>0</v>
      </c>
      <c r="K33" s="85" t="str">
        <f t="shared" si="5"/>
        <v/>
      </c>
      <c r="L33" s="85"/>
      <c r="AC33" s="44" t="s">
        <v>517</v>
      </c>
      <c r="AD33" s="86">
        <v>21</v>
      </c>
      <c r="AE33" s="82" t="str">
        <f t="shared" si="0"/>
        <v>○</v>
      </c>
      <c r="AF33" s="87" t="str">
        <f t="shared" si="1"/>
        <v>申請しない場合は入力不要です。</v>
      </c>
      <c r="AH33" s="87">
        <f t="shared" si="2"/>
        <v>0</v>
      </c>
    </row>
    <row r="34" spans="1:34" ht="20.149999999999999" customHeight="1">
      <c r="A34" s="38">
        <v>22</v>
      </c>
      <c r="B34" s="99"/>
      <c r="C34" s="887"/>
      <c r="D34" s="888"/>
      <c r="E34" s="889"/>
      <c r="F34" s="100"/>
      <c r="G34" s="100"/>
      <c r="H34" s="101"/>
      <c r="I34" s="83">
        <f t="shared" si="3"/>
        <v>0</v>
      </c>
      <c r="J34" s="84">
        <f t="shared" si="4"/>
        <v>0</v>
      </c>
      <c r="K34" s="85" t="str">
        <f t="shared" si="5"/>
        <v/>
      </c>
      <c r="L34" s="85"/>
      <c r="AC34" s="44" t="s">
        <v>517</v>
      </c>
      <c r="AD34" s="86">
        <v>22</v>
      </c>
      <c r="AE34" s="82" t="str">
        <f t="shared" si="0"/>
        <v>○</v>
      </c>
      <c r="AF34" s="87" t="str">
        <f t="shared" si="1"/>
        <v>申請しない場合は入力不要です。</v>
      </c>
      <c r="AH34" s="87">
        <f t="shared" si="2"/>
        <v>0</v>
      </c>
    </row>
    <row r="35" spans="1:34" ht="20.149999999999999" customHeight="1">
      <c r="A35" s="38">
        <v>23</v>
      </c>
      <c r="B35" s="99"/>
      <c r="C35" s="887"/>
      <c r="D35" s="888"/>
      <c r="E35" s="889"/>
      <c r="F35" s="100"/>
      <c r="G35" s="100"/>
      <c r="H35" s="101"/>
      <c r="I35" s="83">
        <f t="shared" si="3"/>
        <v>0</v>
      </c>
      <c r="J35" s="84">
        <f t="shared" si="4"/>
        <v>0</v>
      </c>
      <c r="K35" s="85" t="str">
        <f t="shared" si="5"/>
        <v/>
      </c>
      <c r="L35" s="85"/>
      <c r="AC35" s="44" t="s">
        <v>517</v>
      </c>
      <c r="AD35" s="86">
        <v>23</v>
      </c>
      <c r="AE35" s="82" t="str">
        <f t="shared" si="0"/>
        <v>○</v>
      </c>
      <c r="AF35" s="87" t="str">
        <f t="shared" si="1"/>
        <v>申請しない場合は入力不要です。</v>
      </c>
      <c r="AH35" s="87">
        <f t="shared" si="2"/>
        <v>0</v>
      </c>
    </row>
    <row r="36" spans="1:34" ht="20.149999999999999" customHeight="1">
      <c r="A36" s="38">
        <v>24</v>
      </c>
      <c r="B36" s="99"/>
      <c r="C36" s="887"/>
      <c r="D36" s="888"/>
      <c r="E36" s="889"/>
      <c r="F36" s="100"/>
      <c r="G36" s="100"/>
      <c r="H36" s="101"/>
      <c r="I36" s="83">
        <f t="shared" si="3"/>
        <v>0</v>
      </c>
      <c r="J36" s="84">
        <f t="shared" si="4"/>
        <v>0</v>
      </c>
      <c r="K36" s="85" t="str">
        <f t="shared" si="5"/>
        <v/>
      </c>
      <c r="L36" s="85"/>
      <c r="AC36" s="44" t="s">
        <v>517</v>
      </c>
      <c r="AD36" s="86">
        <v>24</v>
      </c>
      <c r="AE36" s="82" t="str">
        <f t="shared" si="0"/>
        <v>○</v>
      </c>
      <c r="AF36" s="87" t="str">
        <f t="shared" si="1"/>
        <v>申請しない場合は入力不要です。</v>
      </c>
      <c r="AH36" s="87">
        <f t="shared" si="2"/>
        <v>0</v>
      </c>
    </row>
    <row r="37" spans="1:34" ht="20.149999999999999" customHeight="1">
      <c r="A37" s="38">
        <v>25</v>
      </c>
      <c r="B37" s="99"/>
      <c r="C37" s="887"/>
      <c r="D37" s="888"/>
      <c r="E37" s="889"/>
      <c r="F37" s="100"/>
      <c r="G37" s="100"/>
      <c r="H37" s="101"/>
      <c r="I37" s="83">
        <f t="shared" si="3"/>
        <v>0</v>
      </c>
      <c r="J37" s="84">
        <f t="shared" si="4"/>
        <v>0</v>
      </c>
      <c r="K37" s="85" t="str">
        <f t="shared" si="5"/>
        <v/>
      </c>
      <c r="L37" s="85"/>
      <c r="AC37" s="44" t="s">
        <v>517</v>
      </c>
      <c r="AD37" s="86">
        <v>25</v>
      </c>
      <c r="AE37" s="82" t="str">
        <f t="shared" si="0"/>
        <v>○</v>
      </c>
      <c r="AF37" s="87" t="str">
        <f t="shared" si="1"/>
        <v>申請しない場合は入力不要です。</v>
      </c>
      <c r="AH37" s="87">
        <f t="shared" si="2"/>
        <v>0</v>
      </c>
    </row>
    <row r="38" spans="1:34" ht="20.149999999999999" customHeight="1">
      <c r="A38" s="38">
        <v>26</v>
      </c>
      <c r="B38" s="99"/>
      <c r="C38" s="887"/>
      <c r="D38" s="888"/>
      <c r="E38" s="889"/>
      <c r="F38" s="100"/>
      <c r="G38" s="100"/>
      <c r="H38" s="101"/>
      <c r="I38" s="83">
        <f t="shared" si="3"/>
        <v>0</v>
      </c>
      <c r="J38" s="84">
        <f t="shared" si="4"/>
        <v>0</v>
      </c>
      <c r="K38" s="85" t="str">
        <f t="shared" si="5"/>
        <v/>
      </c>
      <c r="L38" s="85"/>
      <c r="AC38" s="44" t="s">
        <v>517</v>
      </c>
      <c r="AD38" s="86">
        <v>26</v>
      </c>
      <c r="AE38" s="82" t="str">
        <f t="shared" si="0"/>
        <v>○</v>
      </c>
      <c r="AF38" s="87" t="str">
        <f t="shared" si="1"/>
        <v>申請しない場合は入力不要です。</v>
      </c>
      <c r="AH38" s="87">
        <f t="shared" si="2"/>
        <v>0</v>
      </c>
    </row>
    <row r="39" spans="1:34" ht="20.149999999999999" customHeight="1">
      <c r="A39" s="38">
        <v>27</v>
      </c>
      <c r="B39" s="99"/>
      <c r="C39" s="887"/>
      <c r="D39" s="888"/>
      <c r="E39" s="889"/>
      <c r="F39" s="100"/>
      <c r="G39" s="100"/>
      <c r="H39" s="101"/>
      <c r="I39" s="83">
        <f t="shared" si="3"/>
        <v>0</v>
      </c>
      <c r="J39" s="84">
        <f t="shared" si="4"/>
        <v>0</v>
      </c>
      <c r="K39" s="85" t="str">
        <f t="shared" si="5"/>
        <v/>
      </c>
      <c r="L39" s="85"/>
      <c r="AC39" s="44" t="s">
        <v>517</v>
      </c>
      <c r="AD39" s="86">
        <v>27</v>
      </c>
      <c r="AE39" s="82" t="str">
        <f t="shared" si="0"/>
        <v>○</v>
      </c>
      <c r="AF39" s="87" t="str">
        <f t="shared" si="1"/>
        <v>申請しない場合は入力不要です。</v>
      </c>
      <c r="AH39" s="87">
        <f t="shared" si="2"/>
        <v>0</v>
      </c>
    </row>
    <row r="40" spans="1:34" ht="20.149999999999999" customHeight="1">
      <c r="A40" s="38">
        <v>28</v>
      </c>
      <c r="B40" s="99"/>
      <c r="C40" s="887"/>
      <c r="D40" s="888"/>
      <c r="E40" s="889"/>
      <c r="F40" s="100"/>
      <c r="G40" s="100"/>
      <c r="H40" s="101"/>
      <c r="I40" s="83">
        <f t="shared" si="3"/>
        <v>0</v>
      </c>
      <c r="J40" s="84">
        <f t="shared" si="4"/>
        <v>0</v>
      </c>
      <c r="K40" s="85" t="str">
        <f t="shared" si="5"/>
        <v/>
      </c>
      <c r="L40" s="85"/>
      <c r="AC40" s="44" t="s">
        <v>517</v>
      </c>
      <c r="AD40" s="86">
        <v>28</v>
      </c>
      <c r="AE40" s="82" t="str">
        <f t="shared" si="0"/>
        <v>○</v>
      </c>
      <c r="AF40" s="87" t="str">
        <f t="shared" si="1"/>
        <v>申請しない場合は入力不要です。</v>
      </c>
      <c r="AH40" s="87">
        <f t="shared" si="2"/>
        <v>0</v>
      </c>
    </row>
    <row r="41" spans="1:34" ht="20.149999999999999" customHeight="1">
      <c r="A41" s="38">
        <v>29</v>
      </c>
      <c r="B41" s="99"/>
      <c r="C41" s="887"/>
      <c r="D41" s="888"/>
      <c r="E41" s="889"/>
      <c r="F41" s="100"/>
      <c r="G41" s="100"/>
      <c r="H41" s="101"/>
      <c r="I41" s="83">
        <f t="shared" si="3"/>
        <v>0</v>
      </c>
      <c r="J41" s="84">
        <f t="shared" si="4"/>
        <v>0</v>
      </c>
      <c r="K41" s="85" t="str">
        <f t="shared" si="5"/>
        <v/>
      </c>
      <c r="L41" s="85"/>
      <c r="AC41" s="44" t="s">
        <v>517</v>
      </c>
      <c r="AD41" s="86">
        <v>29</v>
      </c>
      <c r="AE41" s="82" t="str">
        <f t="shared" si="0"/>
        <v>○</v>
      </c>
      <c r="AF41" s="87" t="str">
        <f t="shared" si="1"/>
        <v>申請しない場合は入力不要です。</v>
      </c>
      <c r="AH41" s="87">
        <f t="shared" si="2"/>
        <v>0</v>
      </c>
    </row>
    <row r="42" spans="1:34" ht="20.149999999999999" customHeight="1">
      <c r="A42" s="38">
        <v>30</v>
      </c>
      <c r="B42" s="99"/>
      <c r="C42" s="887"/>
      <c r="D42" s="888"/>
      <c r="E42" s="889"/>
      <c r="F42" s="100"/>
      <c r="G42" s="100"/>
      <c r="H42" s="101"/>
      <c r="I42" s="83">
        <f t="shared" si="3"/>
        <v>0</v>
      </c>
      <c r="J42" s="84">
        <f t="shared" si="4"/>
        <v>0</v>
      </c>
      <c r="K42" s="85" t="str">
        <f t="shared" si="5"/>
        <v/>
      </c>
      <c r="L42" s="85"/>
      <c r="AC42" s="44" t="s">
        <v>517</v>
      </c>
      <c r="AD42" s="86">
        <v>30</v>
      </c>
      <c r="AE42" s="82" t="str">
        <f t="shared" si="0"/>
        <v>○</v>
      </c>
      <c r="AF42" s="87" t="str">
        <f t="shared" si="1"/>
        <v>申請しない場合は入力不要です。</v>
      </c>
      <c r="AH42" s="87">
        <f t="shared" si="2"/>
        <v>0</v>
      </c>
    </row>
    <row r="43" spans="1:34" ht="20.149999999999999" customHeight="1">
      <c r="A43" s="38">
        <v>31</v>
      </c>
      <c r="B43" s="99"/>
      <c r="C43" s="887"/>
      <c r="D43" s="888"/>
      <c r="E43" s="889"/>
      <c r="F43" s="100"/>
      <c r="G43" s="100"/>
      <c r="H43" s="101"/>
      <c r="I43" s="83">
        <f t="shared" si="3"/>
        <v>0</v>
      </c>
      <c r="J43" s="84">
        <f t="shared" si="4"/>
        <v>0</v>
      </c>
      <c r="K43" s="85" t="str">
        <f t="shared" si="5"/>
        <v/>
      </c>
      <c r="L43" s="85"/>
      <c r="AC43" s="44" t="s">
        <v>517</v>
      </c>
      <c r="AD43" s="86">
        <v>31</v>
      </c>
      <c r="AE43" s="82" t="str">
        <f t="shared" si="0"/>
        <v>○</v>
      </c>
      <c r="AF43" s="87" t="str">
        <f t="shared" si="1"/>
        <v>申請しない場合は入力不要です。</v>
      </c>
      <c r="AH43" s="87">
        <f t="shared" si="2"/>
        <v>0</v>
      </c>
    </row>
    <row r="44" spans="1:34" ht="20.149999999999999" customHeight="1">
      <c r="A44" s="38">
        <v>32</v>
      </c>
      <c r="B44" s="99"/>
      <c r="C44" s="887"/>
      <c r="D44" s="888"/>
      <c r="E44" s="889"/>
      <c r="F44" s="100"/>
      <c r="G44" s="100"/>
      <c r="H44" s="101"/>
      <c r="I44" s="83">
        <f t="shared" si="3"/>
        <v>0</v>
      </c>
      <c r="J44" s="84">
        <f t="shared" si="4"/>
        <v>0</v>
      </c>
      <c r="K44" s="85" t="str">
        <f t="shared" si="5"/>
        <v/>
      </c>
      <c r="L44" s="85"/>
      <c r="AC44" s="44" t="s">
        <v>517</v>
      </c>
      <c r="AD44" s="86">
        <v>32</v>
      </c>
      <c r="AE44" s="82" t="str">
        <f t="shared" si="0"/>
        <v>○</v>
      </c>
      <c r="AF44" s="87" t="str">
        <f t="shared" si="1"/>
        <v>申請しない場合は入力不要です。</v>
      </c>
      <c r="AH44" s="87">
        <f t="shared" si="2"/>
        <v>0</v>
      </c>
    </row>
    <row r="45" spans="1:34" ht="20.149999999999999" customHeight="1">
      <c r="A45" s="38">
        <v>33</v>
      </c>
      <c r="B45" s="99"/>
      <c r="C45" s="887"/>
      <c r="D45" s="888"/>
      <c r="E45" s="889"/>
      <c r="F45" s="100"/>
      <c r="G45" s="100"/>
      <c r="H45" s="101"/>
      <c r="I45" s="83">
        <f t="shared" si="3"/>
        <v>0</v>
      </c>
      <c r="J45" s="84">
        <f t="shared" si="4"/>
        <v>0</v>
      </c>
      <c r="K45" s="85" t="str">
        <f t="shared" si="5"/>
        <v/>
      </c>
      <c r="L45" s="85"/>
      <c r="AB45" s="44" t="str">
        <f>IF(C8=0,"×","○")</f>
        <v>×</v>
      </c>
      <c r="AC45" s="44" t="s">
        <v>517</v>
      </c>
      <c r="AD45" s="86">
        <v>33</v>
      </c>
      <c r="AE45" s="82" t="str">
        <f t="shared" ref="AE45:AE76" si="6" xml:space="preserve">
IF(COUNTA(B45:H45)=0,"○",
IF(AND(COUNTA(B45:H45)&gt;=1,COUNTA(B45:H45)&lt;5),"×",
IF(COUNTA(B45:H45)=5,"◎")))</f>
        <v>○</v>
      </c>
      <c r="AF45" s="87" t="str">
        <f t="shared" ref="AF45:AF76" si="7" xml:space="preserve">
IF(COUNTA(B45:H45)=0,"申請しない場合は入力不要です。",
IF(AND(COUNTA(B45:H45)&gt;=1,COUNTA(B45:H45)&lt;5),"【要修正】種類、品名、内容量、数量、税抜単価の内、未入力の箇所があります。",
IF(COUNTA(B45:H45)=5,"適切に入力がされました。")))</f>
        <v>申請しない場合は入力不要です。</v>
      </c>
      <c r="AH45" s="87">
        <f t="shared" ref="AH45:AH76" si="8">F45*G45</f>
        <v>0</v>
      </c>
    </row>
    <row r="46" spans="1:34" ht="20.149999999999999" customHeight="1">
      <c r="A46" s="38">
        <v>34</v>
      </c>
      <c r="B46" s="99"/>
      <c r="C46" s="887"/>
      <c r="D46" s="888"/>
      <c r="E46" s="889"/>
      <c r="F46" s="100"/>
      <c r="G46" s="100"/>
      <c r="H46" s="101"/>
      <c r="I46" s="83">
        <f t="shared" si="3"/>
        <v>0</v>
      </c>
      <c r="J46" s="84">
        <f t="shared" si="4"/>
        <v>0</v>
      </c>
      <c r="K46" s="85" t="str">
        <f t="shared" si="5"/>
        <v/>
      </c>
      <c r="L46" s="85"/>
      <c r="AC46" s="44" t="s">
        <v>517</v>
      </c>
      <c r="AD46" s="86">
        <v>34</v>
      </c>
      <c r="AE46" s="82" t="str">
        <f t="shared" si="6"/>
        <v>○</v>
      </c>
      <c r="AF46" s="87" t="str">
        <f t="shared" si="7"/>
        <v>申請しない場合は入力不要です。</v>
      </c>
      <c r="AH46" s="87">
        <f t="shared" si="8"/>
        <v>0</v>
      </c>
    </row>
    <row r="47" spans="1:34" ht="20.149999999999999" customHeight="1">
      <c r="A47" s="38">
        <v>35</v>
      </c>
      <c r="B47" s="99"/>
      <c r="C47" s="887"/>
      <c r="D47" s="888"/>
      <c r="E47" s="889"/>
      <c r="F47" s="100"/>
      <c r="G47" s="100"/>
      <c r="H47" s="101"/>
      <c r="I47" s="83">
        <f t="shared" si="3"/>
        <v>0</v>
      </c>
      <c r="J47" s="84">
        <f t="shared" si="4"/>
        <v>0</v>
      </c>
      <c r="K47" s="85" t="str">
        <f t="shared" si="5"/>
        <v/>
      </c>
      <c r="L47" s="85"/>
      <c r="AC47" s="44" t="s">
        <v>517</v>
      </c>
      <c r="AD47" s="86">
        <v>35</v>
      </c>
      <c r="AE47" s="82" t="str">
        <f t="shared" si="6"/>
        <v>○</v>
      </c>
      <c r="AF47" s="87" t="str">
        <f t="shared" si="7"/>
        <v>申請しない場合は入力不要です。</v>
      </c>
      <c r="AH47" s="87">
        <f t="shared" si="8"/>
        <v>0</v>
      </c>
    </row>
    <row r="48" spans="1:34" ht="20.149999999999999" customHeight="1">
      <c r="A48" s="38">
        <v>36</v>
      </c>
      <c r="B48" s="99"/>
      <c r="C48" s="887"/>
      <c r="D48" s="888"/>
      <c r="E48" s="889"/>
      <c r="F48" s="100"/>
      <c r="G48" s="100"/>
      <c r="H48" s="101"/>
      <c r="I48" s="83">
        <f t="shared" si="3"/>
        <v>0</v>
      </c>
      <c r="J48" s="84">
        <f t="shared" si="4"/>
        <v>0</v>
      </c>
      <c r="K48" s="85" t="str">
        <f t="shared" si="5"/>
        <v/>
      </c>
      <c r="L48" s="85"/>
      <c r="AC48" s="44" t="s">
        <v>517</v>
      </c>
      <c r="AD48" s="86">
        <v>36</v>
      </c>
      <c r="AE48" s="82" t="str">
        <f t="shared" si="6"/>
        <v>○</v>
      </c>
      <c r="AF48" s="87" t="str">
        <f t="shared" si="7"/>
        <v>申請しない場合は入力不要です。</v>
      </c>
      <c r="AH48" s="87">
        <f t="shared" si="8"/>
        <v>0</v>
      </c>
    </row>
    <row r="49" spans="1:34" ht="20.149999999999999" customHeight="1">
      <c r="A49" s="38">
        <v>37</v>
      </c>
      <c r="B49" s="99"/>
      <c r="C49" s="887"/>
      <c r="D49" s="888"/>
      <c r="E49" s="889"/>
      <c r="F49" s="100"/>
      <c r="G49" s="100"/>
      <c r="H49" s="101"/>
      <c r="I49" s="83">
        <f t="shared" si="3"/>
        <v>0</v>
      </c>
      <c r="J49" s="84">
        <f t="shared" si="4"/>
        <v>0</v>
      </c>
      <c r="K49" s="85" t="str">
        <f t="shared" si="5"/>
        <v/>
      </c>
      <c r="L49" s="85"/>
      <c r="AC49" s="44" t="s">
        <v>517</v>
      </c>
      <c r="AD49" s="86">
        <v>37</v>
      </c>
      <c r="AE49" s="82" t="str">
        <f t="shared" si="6"/>
        <v>○</v>
      </c>
      <c r="AF49" s="87" t="str">
        <f t="shared" si="7"/>
        <v>申請しない場合は入力不要です。</v>
      </c>
      <c r="AH49" s="87">
        <f t="shared" si="8"/>
        <v>0</v>
      </c>
    </row>
    <row r="50" spans="1:34" ht="20.149999999999999" customHeight="1">
      <c r="A50" s="38">
        <v>38</v>
      </c>
      <c r="B50" s="99"/>
      <c r="C50" s="887"/>
      <c r="D50" s="888"/>
      <c r="E50" s="889"/>
      <c r="F50" s="100"/>
      <c r="G50" s="100"/>
      <c r="H50" s="101"/>
      <c r="I50" s="83">
        <f t="shared" si="3"/>
        <v>0</v>
      </c>
      <c r="J50" s="84">
        <f t="shared" si="4"/>
        <v>0</v>
      </c>
      <c r="K50" s="85" t="str">
        <f t="shared" si="5"/>
        <v/>
      </c>
      <c r="L50" s="85"/>
      <c r="AC50" s="44" t="s">
        <v>517</v>
      </c>
      <c r="AD50" s="86">
        <v>38</v>
      </c>
      <c r="AE50" s="82" t="str">
        <f t="shared" si="6"/>
        <v>○</v>
      </c>
      <c r="AF50" s="87" t="str">
        <f t="shared" si="7"/>
        <v>申請しない場合は入力不要です。</v>
      </c>
      <c r="AH50" s="87">
        <f t="shared" si="8"/>
        <v>0</v>
      </c>
    </row>
    <row r="51" spans="1:34" ht="20.149999999999999" customHeight="1">
      <c r="A51" s="38">
        <v>39</v>
      </c>
      <c r="B51" s="99"/>
      <c r="C51" s="887"/>
      <c r="D51" s="888"/>
      <c r="E51" s="889"/>
      <c r="F51" s="100"/>
      <c r="G51" s="100"/>
      <c r="H51" s="101"/>
      <c r="I51" s="83">
        <f t="shared" si="3"/>
        <v>0</v>
      </c>
      <c r="J51" s="84">
        <f t="shared" si="4"/>
        <v>0</v>
      </c>
      <c r="K51" s="85" t="str">
        <f t="shared" si="5"/>
        <v/>
      </c>
      <c r="L51" s="85"/>
      <c r="AC51" s="44" t="s">
        <v>517</v>
      </c>
      <c r="AD51" s="86">
        <v>39</v>
      </c>
      <c r="AE51" s="82" t="str">
        <f t="shared" si="6"/>
        <v>○</v>
      </c>
      <c r="AF51" s="87" t="str">
        <f t="shared" si="7"/>
        <v>申請しない場合は入力不要です。</v>
      </c>
      <c r="AH51" s="87">
        <f t="shared" si="8"/>
        <v>0</v>
      </c>
    </row>
    <row r="52" spans="1:34" ht="20.149999999999999" customHeight="1">
      <c r="A52" s="38">
        <v>40</v>
      </c>
      <c r="B52" s="99"/>
      <c r="C52" s="887"/>
      <c r="D52" s="888"/>
      <c r="E52" s="889"/>
      <c r="F52" s="100"/>
      <c r="G52" s="100"/>
      <c r="H52" s="101"/>
      <c r="I52" s="83">
        <f t="shared" si="3"/>
        <v>0</v>
      </c>
      <c r="J52" s="84">
        <f t="shared" si="4"/>
        <v>0</v>
      </c>
      <c r="K52" s="85" t="str">
        <f t="shared" si="5"/>
        <v/>
      </c>
      <c r="L52" s="85"/>
      <c r="AC52" s="44" t="s">
        <v>517</v>
      </c>
      <c r="AD52" s="86">
        <v>40</v>
      </c>
      <c r="AE52" s="82" t="str">
        <f t="shared" si="6"/>
        <v>○</v>
      </c>
      <c r="AF52" s="87" t="str">
        <f t="shared" si="7"/>
        <v>申請しない場合は入力不要です。</v>
      </c>
      <c r="AH52" s="87">
        <f t="shared" si="8"/>
        <v>0</v>
      </c>
    </row>
    <row r="53" spans="1:34" ht="20.149999999999999" customHeight="1">
      <c r="A53" s="38">
        <v>41</v>
      </c>
      <c r="B53" s="99"/>
      <c r="C53" s="887"/>
      <c r="D53" s="888"/>
      <c r="E53" s="889"/>
      <c r="F53" s="100"/>
      <c r="G53" s="100"/>
      <c r="H53" s="101"/>
      <c r="I53" s="83">
        <f t="shared" si="3"/>
        <v>0</v>
      </c>
      <c r="J53" s="84">
        <f t="shared" si="4"/>
        <v>0</v>
      </c>
      <c r="K53" s="85" t="str">
        <f t="shared" si="5"/>
        <v/>
      </c>
      <c r="L53" s="85"/>
      <c r="AC53" s="44" t="s">
        <v>517</v>
      </c>
      <c r="AD53" s="86">
        <v>41</v>
      </c>
      <c r="AE53" s="82" t="str">
        <f t="shared" si="6"/>
        <v>○</v>
      </c>
      <c r="AF53" s="87" t="str">
        <f t="shared" si="7"/>
        <v>申請しない場合は入力不要です。</v>
      </c>
      <c r="AH53" s="87">
        <f t="shared" si="8"/>
        <v>0</v>
      </c>
    </row>
    <row r="54" spans="1:34" ht="20.149999999999999" customHeight="1">
      <c r="A54" s="38">
        <v>42</v>
      </c>
      <c r="B54" s="99"/>
      <c r="C54" s="887"/>
      <c r="D54" s="888"/>
      <c r="E54" s="889"/>
      <c r="F54" s="100"/>
      <c r="G54" s="100"/>
      <c r="H54" s="101"/>
      <c r="I54" s="83">
        <f t="shared" si="3"/>
        <v>0</v>
      </c>
      <c r="J54" s="84">
        <f t="shared" si="4"/>
        <v>0</v>
      </c>
      <c r="K54" s="85" t="str">
        <f t="shared" si="5"/>
        <v/>
      </c>
      <c r="L54" s="85"/>
      <c r="AC54" s="44" t="s">
        <v>517</v>
      </c>
      <c r="AD54" s="86">
        <v>42</v>
      </c>
      <c r="AE54" s="82" t="str">
        <f t="shared" si="6"/>
        <v>○</v>
      </c>
      <c r="AF54" s="87" t="str">
        <f t="shared" si="7"/>
        <v>申請しない場合は入力不要です。</v>
      </c>
      <c r="AH54" s="87">
        <f t="shared" si="8"/>
        <v>0</v>
      </c>
    </row>
    <row r="55" spans="1:34" ht="20.149999999999999" customHeight="1">
      <c r="A55" s="38">
        <v>43</v>
      </c>
      <c r="B55" s="99"/>
      <c r="C55" s="887"/>
      <c r="D55" s="888"/>
      <c r="E55" s="889"/>
      <c r="F55" s="100"/>
      <c r="G55" s="100"/>
      <c r="H55" s="101"/>
      <c r="I55" s="83">
        <f t="shared" si="3"/>
        <v>0</v>
      </c>
      <c r="J55" s="84">
        <f t="shared" si="4"/>
        <v>0</v>
      </c>
      <c r="K55" s="85" t="str">
        <f t="shared" si="5"/>
        <v/>
      </c>
      <c r="L55" s="85"/>
      <c r="AC55" s="44" t="s">
        <v>517</v>
      </c>
      <c r="AD55" s="86">
        <v>43</v>
      </c>
      <c r="AE55" s="82" t="str">
        <f t="shared" si="6"/>
        <v>○</v>
      </c>
      <c r="AF55" s="87" t="str">
        <f t="shared" si="7"/>
        <v>申請しない場合は入力不要です。</v>
      </c>
      <c r="AH55" s="87">
        <f t="shared" si="8"/>
        <v>0</v>
      </c>
    </row>
    <row r="56" spans="1:34" ht="20.149999999999999" customHeight="1">
      <c r="A56" s="38">
        <v>44</v>
      </c>
      <c r="B56" s="99"/>
      <c r="C56" s="887"/>
      <c r="D56" s="888"/>
      <c r="E56" s="889"/>
      <c r="F56" s="100"/>
      <c r="G56" s="100"/>
      <c r="H56" s="101"/>
      <c r="I56" s="83">
        <f t="shared" si="3"/>
        <v>0</v>
      </c>
      <c r="J56" s="84">
        <f t="shared" si="4"/>
        <v>0</v>
      </c>
      <c r="K56" s="85" t="str">
        <f t="shared" si="5"/>
        <v/>
      </c>
      <c r="L56" s="85"/>
      <c r="AC56" s="44" t="s">
        <v>517</v>
      </c>
      <c r="AD56" s="86">
        <v>44</v>
      </c>
      <c r="AE56" s="82" t="str">
        <f t="shared" si="6"/>
        <v>○</v>
      </c>
      <c r="AF56" s="87" t="str">
        <f t="shared" si="7"/>
        <v>申請しない場合は入力不要です。</v>
      </c>
      <c r="AH56" s="87">
        <f t="shared" si="8"/>
        <v>0</v>
      </c>
    </row>
    <row r="57" spans="1:34" ht="20.149999999999999" customHeight="1">
      <c r="A57" s="38">
        <v>45</v>
      </c>
      <c r="B57" s="99"/>
      <c r="C57" s="887"/>
      <c r="D57" s="888"/>
      <c r="E57" s="889"/>
      <c r="F57" s="100"/>
      <c r="G57" s="100"/>
      <c r="H57" s="101"/>
      <c r="I57" s="83">
        <f t="shared" si="3"/>
        <v>0</v>
      </c>
      <c r="J57" s="84">
        <f t="shared" si="4"/>
        <v>0</v>
      </c>
      <c r="K57" s="85" t="str">
        <f t="shared" si="5"/>
        <v/>
      </c>
      <c r="L57" s="85"/>
      <c r="AC57" s="44" t="s">
        <v>517</v>
      </c>
      <c r="AD57" s="86">
        <v>45</v>
      </c>
      <c r="AE57" s="82" t="str">
        <f t="shared" si="6"/>
        <v>○</v>
      </c>
      <c r="AF57" s="87" t="str">
        <f t="shared" si="7"/>
        <v>申請しない場合は入力不要です。</v>
      </c>
      <c r="AH57" s="87">
        <f t="shared" si="8"/>
        <v>0</v>
      </c>
    </row>
    <row r="58" spans="1:34" ht="20.149999999999999" customHeight="1">
      <c r="A58" s="38">
        <v>46</v>
      </c>
      <c r="B58" s="99"/>
      <c r="C58" s="887"/>
      <c r="D58" s="888"/>
      <c r="E58" s="889"/>
      <c r="F58" s="100"/>
      <c r="G58" s="100"/>
      <c r="H58" s="101"/>
      <c r="I58" s="83">
        <f t="shared" si="3"/>
        <v>0</v>
      </c>
      <c r="J58" s="84">
        <f t="shared" si="4"/>
        <v>0</v>
      </c>
      <c r="K58" s="85" t="str">
        <f t="shared" si="5"/>
        <v/>
      </c>
      <c r="L58" s="85"/>
      <c r="AC58" s="44" t="s">
        <v>517</v>
      </c>
      <c r="AD58" s="86">
        <v>46</v>
      </c>
      <c r="AE58" s="82" t="str">
        <f t="shared" si="6"/>
        <v>○</v>
      </c>
      <c r="AF58" s="87" t="str">
        <f t="shared" si="7"/>
        <v>申請しない場合は入力不要です。</v>
      </c>
      <c r="AH58" s="87">
        <f t="shared" si="8"/>
        <v>0</v>
      </c>
    </row>
    <row r="59" spans="1:34" ht="20.149999999999999" customHeight="1">
      <c r="A59" s="38">
        <v>47</v>
      </c>
      <c r="B59" s="99"/>
      <c r="C59" s="887"/>
      <c r="D59" s="888"/>
      <c r="E59" s="889"/>
      <c r="F59" s="100"/>
      <c r="G59" s="100"/>
      <c r="H59" s="101"/>
      <c r="I59" s="83">
        <f t="shared" si="3"/>
        <v>0</v>
      </c>
      <c r="J59" s="84">
        <f t="shared" si="4"/>
        <v>0</v>
      </c>
      <c r="K59" s="85" t="str">
        <f t="shared" si="5"/>
        <v/>
      </c>
      <c r="L59" s="85"/>
      <c r="AC59" s="44" t="s">
        <v>517</v>
      </c>
      <c r="AD59" s="86">
        <v>47</v>
      </c>
      <c r="AE59" s="82" t="str">
        <f t="shared" si="6"/>
        <v>○</v>
      </c>
      <c r="AF59" s="87" t="str">
        <f t="shared" si="7"/>
        <v>申請しない場合は入力不要です。</v>
      </c>
      <c r="AH59" s="87">
        <f t="shared" si="8"/>
        <v>0</v>
      </c>
    </row>
    <row r="60" spans="1:34" ht="20.149999999999999" customHeight="1">
      <c r="A60" s="38">
        <v>48</v>
      </c>
      <c r="B60" s="99"/>
      <c r="C60" s="887"/>
      <c r="D60" s="888"/>
      <c r="E60" s="889"/>
      <c r="F60" s="100"/>
      <c r="G60" s="100"/>
      <c r="H60" s="101"/>
      <c r="I60" s="83">
        <f t="shared" si="3"/>
        <v>0</v>
      </c>
      <c r="J60" s="84">
        <f t="shared" si="4"/>
        <v>0</v>
      </c>
      <c r="K60" s="85" t="str">
        <f t="shared" si="5"/>
        <v/>
      </c>
      <c r="L60" s="85"/>
      <c r="AC60" s="44" t="s">
        <v>517</v>
      </c>
      <c r="AD60" s="86">
        <v>48</v>
      </c>
      <c r="AE60" s="82" t="str">
        <f t="shared" si="6"/>
        <v>○</v>
      </c>
      <c r="AF60" s="87" t="str">
        <f t="shared" si="7"/>
        <v>申請しない場合は入力不要です。</v>
      </c>
      <c r="AH60" s="87">
        <f t="shared" si="8"/>
        <v>0</v>
      </c>
    </row>
    <row r="61" spans="1:34" ht="20.149999999999999" customHeight="1">
      <c r="A61" s="38">
        <v>49</v>
      </c>
      <c r="B61" s="99"/>
      <c r="C61" s="887"/>
      <c r="D61" s="888"/>
      <c r="E61" s="889"/>
      <c r="F61" s="100"/>
      <c r="G61" s="100"/>
      <c r="H61" s="101"/>
      <c r="I61" s="83">
        <f t="shared" si="3"/>
        <v>0</v>
      </c>
      <c r="J61" s="84">
        <f t="shared" si="4"/>
        <v>0</v>
      </c>
      <c r="K61" s="85" t="str">
        <f t="shared" si="5"/>
        <v/>
      </c>
      <c r="L61" s="85"/>
      <c r="AC61" s="44" t="s">
        <v>517</v>
      </c>
      <c r="AD61" s="86">
        <v>49</v>
      </c>
      <c r="AE61" s="82" t="str">
        <f t="shared" si="6"/>
        <v>○</v>
      </c>
      <c r="AF61" s="87" t="str">
        <f t="shared" si="7"/>
        <v>申請しない場合は入力不要です。</v>
      </c>
      <c r="AH61" s="87">
        <f t="shared" si="8"/>
        <v>0</v>
      </c>
    </row>
    <row r="62" spans="1:34" ht="20.149999999999999" customHeight="1">
      <c r="A62" s="38">
        <v>50</v>
      </c>
      <c r="B62" s="99"/>
      <c r="C62" s="887"/>
      <c r="D62" s="888"/>
      <c r="E62" s="889"/>
      <c r="F62" s="100"/>
      <c r="G62" s="100"/>
      <c r="H62" s="101"/>
      <c r="I62" s="83">
        <f t="shared" si="3"/>
        <v>0</v>
      </c>
      <c r="J62" s="84">
        <f t="shared" si="4"/>
        <v>0</v>
      </c>
      <c r="K62" s="85" t="str">
        <f t="shared" si="5"/>
        <v/>
      </c>
      <c r="L62" s="85"/>
      <c r="AC62" s="44" t="s">
        <v>517</v>
      </c>
      <c r="AD62" s="86">
        <v>50</v>
      </c>
      <c r="AE62" s="82" t="str">
        <f t="shared" si="6"/>
        <v>○</v>
      </c>
      <c r="AF62" s="87" t="str">
        <f t="shared" si="7"/>
        <v>申請しない場合は入力不要です。</v>
      </c>
      <c r="AH62" s="87">
        <f t="shared" si="8"/>
        <v>0</v>
      </c>
    </row>
    <row r="63" spans="1:34" ht="20.149999999999999" customHeight="1">
      <c r="A63" s="38">
        <v>51</v>
      </c>
      <c r="B63" s="99"/>
      <c r="C63" s="887"/>
      <c r="D63" s="888"/>
      <c r="E63" s="889"/>
      <c r="F63" s="100"/>
      <c r="G63" s="100"/>
      <c r="H63" s="101"/>
      <c r="I63" s="83">
        <f t="shared" si="3"/>
        <v>0</v>
      </c>
      <c r="J63" s="84">
        <f t="shared" si="4"/>
        <v>0</v>
      </c>
      <c r="K63" s="85" t="str">
        <f t="shared" si="5"/>
        <v/>
      </c>
      <c r="L63" s="85"/>
      <c r="AC63" s="44" t="s">
        <v>517</v>
      </c>
      <c r="AD63" s="86">
        <v>51</v>
      </c>
      <c r="AE63" s="82" t="str">
        <f t="shared" si="6"/>
        <v>○</v>
      </c>
      <c r="AF63" s="87" t="str">
        <f t="shared" si="7"/>
        <v>申請しない場合は入力不要です。</v>
      </c>
      <c r="AH63" s="87">
        <f t="shared" si="8"/>
        <v>0</v>
      </c>
    </row>
    <row r="64" spans="1:34" ht="20.149999999999999" customHeight="1">
      <c r="A64" s="38">
        <v>52</v>
      </c>
      <c r="B64" s="99"/>
      <c r="C64" s="887"/>
      <c r="D64" s="888"/>
      <c r="E64" s="889"/>
      <c r="F64" s="100"/>
      <c r="G64" s="100"/>
      <c r="H64" s="101"/>
      <c r="I64" s="83">
        <f t="shared" si="3"/>
        <v>0</v>
      </c>
      <c r="J64" s="84">
        <f t="shared" si="4"/>
        <v>0</v>
      </c>
      <c r="K64" s="85" t="str">
        <f t="shared" si="5"/>
        <v/>
      </c>
      <c r="L64" s="85"/>
      <c r="AC64" s="44" t="s">
        <v>517</v>
      </c>
      <c r="AD64" s="86">
        <v>52</v>
      </c>
      <c r="AE64" s="82" t="str">
        <f t="shared" si="6"/>
        <v>○</v>
      </c>
      <c r="AF64" s="87" t="str">
        <f t="shared" si="7"/>
        <v>申請しない場合は入力不要です。</v>
      </c>
      <c r="AH64" s="87">
        <f t="shared" si="8"/>
        <v>0</v>
      </c>
    </row>
    <row r="65" spans="1:34" ht="20.149999999999999" customHeight="1">
      <c r="A65" s="38">
        <v>53</v>
      </c>
      <c r="B65" s="99"/>
      <c r="C65" s="887"/>
      <c r="D65" s="888"/>
      <c r="E65" s="889"/>
      <c r="F65" s="100"/>
      <c r="G65" s="100"/>
      <c r="H65" s="101"/>
      <c r="I65" s="83">
        <f t="shared" si="3"/>
        <v>0</v>
      </c>
      <c r="J65" s="84">
        <f t="shared" si="4"/>
        <v>0</v>
      </c>
      <c r="K65" s="85" t="str">
        <f t="shared" si="5"/>
        <v/>
      </c>
      <c r="L65" s="85"/>
      <c r="AC65" s="44" t="s">
        <v>517</v>
      </c>
      <c r="AD65" s="86">
        <v>53</v>
      </c>
      <c r="AE65" s="82" t="str">
        <f t="shared" si="6"/>
        <v>○</v>
      </c>
      <c r="AF65" s="87" t="str">
        <f t="shared" si="7"/>
        <v>申請しない場合は入力不要です。</v>
      </c>
      <c r="AH65" s="87">
        <f t="shared" si="8"/>
        <v>0</v>
      </c>
    </row>
    <row r="66" spans="1:34" ht="20.149999999999999" customHeight="1">
      <c r="A66" s="38">
        <v>54</v>
      </c>
      <c r="B66" s="99"/>
      <c r="C66" s="887"/>
      <c r="D66" s="888"/>
      <c r="E66" s="889"/>
      <c r="F66" s="100"/>
      <c r="G66" s="100"/>
      <c r="H66" s="101"/>
      <c r="I66" s="83">
        <f t="shared" si="3"/>
        <v>0</v>
      </c>
      <c r="J66" s="84">
        <f t="shared" si="4"/>
        <v>0</v>
      </c>
      <c r="K66" s="85" t="str">
        <f t="shared" si="5"/>
        <v/>
      </c>
      <c r="L66" s="85"/>
      <c r="AC66" s="44" t="s">
        <v>517</v>
      </c>
      <c r="AD66" s="86">
        <v>54</v>
      </c>
      <c r="AE66" s="82" t="str">
        <f t="shared" si="6"/>
        <v>○</v>
      </c>
      <c r="AF66" s="87" t="str">
        <f t="shared" si="7"/>
        <v>申請しない場合は入力不要です。</v>
      </c>
      <c r="AH66" s="87">
        <f t="shared" si="8"/>
        <v>0</v>
      </c>
    </row>
    <row r="67" spans="1:34" ht="20.149999999999999" customHeight="1">
      <c r="A67" s="38">
        <v>55</v>
      </c>
      <c r="B67" s="99"/>
      <c r="C67" s="887"/>
      <c r="D67" s="888"/>
      <c r="E67" s="889"/>
      <c r="F67" s="100"/>
      <c r="G67" s="100"/>
      <c r="H67" s="101"/>
      <c r="I67" s="83">
        <f t="shared" si="3"/>
        <v>0</v>
      </c>
      <c r="J67" s="84">
        <f t="shared" si="4"/>
        <v>0</v>
      </c>
      <c r="K67" s="85" t="str">
        <f t="shared" si="5"/>
        <v/>
      </c>
      <c r="L67" s="85"/>
      <c r="AC67" s="44" t="s">
        <v>517</v>
      </c>
      <c r="AD67" s="86">
        <v>55</v>
      </c>
      <c r="AE67" s="82" t="str">
        <f t="shared" si="6"/>
        <v>○</v>
      </c>
      <c r="AF67" s="87" t="str">
        <f t="shared" si="7"/>
        <v>申請しない場合は入力不要です。</v>
      </c>
      <c r="AH67" s="87">
        <f t="shared" si="8"/>
        <v>0</v>
      </c>
    </row>
    <row r="68" spans="1:34" ht="20.149999999999999" customHeight="1">
      <c r="A68" s="38">
        <v>56</v>
      </c>
      <c r="B68" s="99"/>
      <c r="C68" s="887"/>
      <c r="D68" s="888"/>
      <c r="E68" s="889"/>
      <c r="F68" s="100"/>
      <c r="G68" s="100"/>
      <c r="H68" s="101"/>
      <c r="I68" s="83">
        <f t="shared" si="3"/>
        <v>0</v>
      </c>
      <c r="J68" s="84">
        <f t="shared" si="4"/>
        <v>0</v>
      </c>
      <c r="K68" s="85" t="str">
        <f t="shared" si="5"/>
        <v/>
      </c>
      <c r="L68" s="85"/>
      <c r="AC68" s="44" t="s">
        <v>517</v>
      </c>
      <c r="AD68" s="86">
        <v>56</v>
      </c>
      <c r="AE68" s="82" t="str">
        <f t="shared" si="6"/>
        <v>○</v>
      </c>
      <c r="AF68" s="87" t="str">
        <f t="shared" si="7"/>
        <v>申請しない場合は入力不要です。</v>
      </c>
      <c r="AH68" s="87">
        <f t="shared" si="8"/>
        <v>0</v>
      </c>
    </row>
    <row r="69" spans="1:34" ht="20.149999999999999" customHeight="1">
      <c r="A69" s="38">
        <v>57</v>
      </c>
      <c r="B69" s="99"/>
      <c r="C69" s="887"/>
      <c r="D69" s="888"/>
      <c r="E69" s="889"/>
      <c r="F69" s="100"/>
      <c r="G69" s="100"/>
      <c r="H69" s="101"/>
      <c r="I69" s="83">
        <f t="shared" si="3"/>
        <v>0</v>
      </c>
      <c r="J69" s="84">
        <f t="shared" si="4"/>
        <v>0</v>
      </c>
      <c r="K69" s="85" t="str">
        <f t="shared" si="5"/>
        <v/>
      </c>
      <c r="L69" s="85"/>
      <c r="AC69" s="44" t="s">
        <v>517</v>
      </c>
      <c r="AD69" s="86">
        <v>57</v>
      </c>
      <c r="AE69" s="82" t="str">
        <f t="shared" si="6"/>
        <v>○</v>
      </c>
      <c r="AF69" s="87" t="str">
        <f t="shared" si="7"/>
        <v>申請しない場合は入力不要です。</v>
      </c>
      <c r="AH69" s="87">
        <f t="shared" si="8"/>
        <v>0</v>
      </c>
    </row>
    <row r="70" spans="1:34" ht="20.149999999999999" customHeight="1">
      <c r="A70" s="38">
        <v>58</v>
      </c>
      <c r="B70" s="99"/>
      <c r="C70" s="887"/>
      <c r="D70" s="888"/>
      <c r="E70" s="889"/>
      <c r="F70" s="100"/>
      <c r="G70" s="100"/>
      <c r="H70" s="101"/>
      <c r="I70" s="83">
        <f t="shared" si="3"/>
        <v>0</v>
      </c>
      <c r="J70" s="84">
        <f t="shared" si="4"/>
        <v>0</v>
      </c>
      <c r="K70" s="85" t="str">
        <f t="shared" si="5"/>
        <v/>
      </c>
      <c r="L70" s="85"/>
      <c r="AC70" s="44" t="s">
        <v>517</v>
      </c>
      <c r="AD70" s="86">
        <v>58</v>
      </c>
      <c r="AE70" s="82" t="str">
        <f t="shared" si="6"/>
        <v>○</v>
      </c>
      <c r="AF70" s="87" t="str">
        <f t="shared" si="7"/>
        <v>申請しない場合は入力不要です。</v>
      </c>
      <c r="AH70" s="87">
        <f t="shared" si="8"/>
        <v>0</v>
      </c>
    </row>
    <row r="71" spans="1:34" ht="20.149999999999999" customHeight="1">
      <c r="A71" s="38">
        <v>59</v>
      </c>
      <c r="B71" s="99"/>
      <c r="C71" s="887"/>
      <c r="D71" s="888"/>
      <c r="E71" s="889"/>
      <c r="F71" s="100"/>
      <c r="G71" s="100"/>
      <c r="H71" s="101"/>
      <c r="I71" s="83">
        <f t="shared" si="3"/>
        <v>0</v>
      </c>
      <c r="J71" s="84">
        <f t="shared" si="4"/>
        <v>0</v>
      </c>
      <c r="K71" s="85" t="str">
        <f t="shared" si="5"/>
        <v/>
      </c>
      <c r="L71" s="85"/>
      <c r="AC71" s="44" t="s">
        <v>517</v>
      </c>
      <c r="AD71" s="86">
        <v>59</v>
      </c>
      <c r="AE71" s="82" t="str">
        <f t="shared" si="6"/>
        <v>○</v>
      </c>
      <c r="AF71" s="87" t="str">
        <f t="shared" si="7"/>
        <v>申請しない場合は入力不要です。</v>
      </c>
      <c r="AH71" s="87">
        <f t="shared" si="8"/>
        <v>0</v>
      </c>
    </row>
    <row r="72" spans="1:34" ht="20.149999999999999" customHeight="1">
      <c r="A72" s="38">
        <v>60</v>
      </c>
      <c r="B72" s="99"/>
      <c r="C72" s="887"/>
      <c r="D72" s="888"/>
      <c r="E72" s="889"/>
      <c r="F72" s="100"/>
      <c r="G72" s="100"/>
      <c r="H72" s="101"/>
      <c r="I72" s="83">
        <f t="shared" si="3"/>
        <v>0</v>
      </c>
      <c r="J72" s="84">
        <f t="shared" si="4"/>
        <v>0</v>
      </c>
      <c r="K72" s="85" t="str">
        <f t="shared" si="5"/>
        <v/>
      </c>
      <c r="L72" s="85"/>
      <c r="AC72" s="44" t="s">
        <v>517</v>
      </c>
      <c r="AD72" s="86">
        <v>60</v>
      </c>
      <c r="AE72" s="82" t="str">
        <f t="shared" si="6"/>
        <v>○</v>
      </c>
      <c r="AF72" s="87" t="str">
        <f t="shared" si="7"/>
        <v>申請しない場合は入力不要です。</v>
      </c>
      <c r="AH72" s="87">
        <f t="shared" si="8"/>
        <v>0</v>
      </c>
    </row>
    <row r="73" spans="1:34" ht="20.149999999999999" customHeight="1">
      <c r="A73" s="38">
        <v>61</v>
      </c>
      <c r="B73" s="99"/>
      <c r="C73" s="887"/>
      <c r="D73" s="888"/>
      <c r="E73" s="889"/>
      <c r="F73" s="100"/>
      <c r="G73" s="100"/>
      <c r="H73" s="101"/>
      <c r="I73" s="83">
        <f t="shared" si="3"/>
        <v>0</v>
      </c>
      <c r="J73" s="84">
        <f t="shared" si="4"/>
        <v>0</v>
      </c>
      <c r="K73" s="85" t="str">
        <f t="shared" si="5"/>
        <v/>
      </c>
      <c r="L73" s="85"/>
      <c r="AC73" s="44" t="s">
        <v>517</v>
      </c>
      <c r="AD73" s="86">
        <v>61</v>
      </c>
      <c r="AE73" s="82" t="str">
        <f t="shared" si="6"/>
        <v>○</v>
      </c>
      <c r="AF73" s="87" t="str">
        <f t="shared" si="7"/>
        <v>申請しない場合は入力不要です。</v>
      </c>
      <c r="AH73" s="87">
        <f t="shared" si="8"/>
        <v>0</v>
      </c>
    </row>
    <row r="74" spans="1:34" ht="20.149999999999999" customHeight="1">
      <c r="A74" s="38">
        <v>62</v>
      </c>
      <c r="B74" s="99"/>
      <c r="C74" s="887"/>
      <c r="D74" s="888"/>
      <c r="E74" s="889"/>
      <c r="F74" s="100"/>
      <c r="G74" s="100"/>
      <c r="H74" s="101"/>
      <c r="I74" s="83">
        <f t="shared" si="3"/>
        <v>0</v>
      </c>
      <c r="J74" s="84">
        <f t="shared" si="4"/>
        <v>0</v>
      </c>
      <c r="K74" s="85" t="str">
        <f t="shared" si="5"/>
        <v/>
      </c>
      <c r="L74" s="85"/>
      <c r="AC74" s="44" t="s">
        <v>517</v>
      </c>
      <c r="AD74" s="86">
        <v>62</v>
      </c>
      <c r="AE74" s="82" t="str">
        <f t="shared" si="6"/>
        <v>○</v>
      </c>
      <c r="AF74" s="87" t="str">
        <f t="shared" si="7"/>
        <v>申請しない場合は入力不要です。</v>
      </c>
      <c r="AH74" s="87">
        <f t="shared" si="8"/>
        <v>0</v>
      </c>
    </row>
    <row r="75" spans="1:34" ht="20.149999999999999" customHeight="1">
      <c r="A75" s="38">
        <v>63</v>
      </c>
      <c r="B75" s="99"/>
      <c r="C75" s="887"/>
      <c r="D75" s="888"/>
      <c r="E75" s="889"/>
      <c r="F75" s="100"/>
      <c r="G75" s="100"/>
      <c r="H75" s="101"/>
      <c r="I75" s="83">
        <f t="shared" si="3"/>
        <v>0</v>
      </c>
      <c r="J75" s="84">
        <f t="shared" si="4"/>
        <v>0</v>
      </c>
      <c r="K75" s="85" t="str">
        <f t="shared" si="5"/>
        <v/>
      </c>
      <c r="L75" s="85"/>
      <c r="AC75" s="44" t="s">
        <v>517</v>
      </c>
      <c r="AD75" s="86">
        <v>63</v>
      </c>
      <c r="AE75" s="82" t="str">
        <f t="shared" si="6"/>
        <v>○</v>
      </c>
      <c r="AF75" s="87" t="str">
        <f t="shared" si="7"/>
        <v>申請しない場合は入力不要です。</v>
      </c>
      <c r="AH75" s="87">
        <f t="shared" si="8"/>
        <v>0</v>
      </c>
    </row>
    <row r="76" spans="1:34" ht="20.149999999999999" customHeight="1">
      <c r="A76" s="38">
        <v>64</v>
      </c>
      <c r="B76" s="99"/>
      <c r="C76" s="887"/>
      <c r="D76" s="888"/>
      <c r="E76" s="889"/>
      <c r="F76" s="100"/>
      <c r="G76" s="100"/>
      <c r="H76" s="101"/>
      <c r="I76" s="83">
        <f t="shared" si="3"/>
        <v>0</v>
      </c>
      <c r="J76" s="84">
        <f t="shared" si="4"/>
        <v>0</v>
      </c>
      <c r="K76" s="85" t="str">
        <f t="shared" si="5"/>
        <v/>
      </c>
      <c r="L76" s="85"/>
      <c r="AC76" s="44" t="s">
        <v>517</v>
      </c>
      <c r="AD76" s="86">
        <v>64</v>
      </c>
      <c r="AE76" s="82" t="str">
        <f t="shared" si="6"/>
        <v>○</v>
      </c>
      <c r="AF76" s="87" t="str">
        <f t="shared" si="7"/>
        <v>申請しない場合は入力不要です。</v>
      </c>
      <c r="AH76" s="87">
        <f t="shared" si="8"/>
        <v>0</v>
      </c>
    </row>
    <row r="77" spans="1:34" ht="20.149999999999999" customHeight="1">
      <c r="A77" s="38">
        <v>65</v>
      </c>
      <c r="B77" s="99"/>
      <c r="C77" s="887"/>
      <c r="D77" s="888"/>
      <c r="E77" s="889"/>
      <c r="F77" s="100"/>
      <c r="G77" s="100"/>
      <c r="H77" s="101"/>
      <c r="I77" s="83">
        <f t="shared" si="3"/>
        <v>0</v>
      </c>
      <c r="J77" s="84">
        <f t="shared" si="4"/>
        <v>0</v>
      </c>
      <c r="K77" s="85" t="str">
        <f t="shared" si="5"/>
        <v/>
      </c>
      <c r="L77" s="85"/>
      <c r="AC77" s="44" t="s">
        <v>517</v>
      </c>
      <c r="AD77" s="86">
        <v>65</v>
      </c>
      <c r="AE77" s="82" t="str">
        <f t="shared" ref="AE77:AE112" si="9" xml:space="preserve">
IF(COUNTA(B77:H77)=0,"○",
IF(AND(COUNTA(B77:H77)&gt;=1,COUNTA(B77:H77)&lt;5),"×",
IF(COUNTA(B77:H77)=5,"◎")))</f>
        <v>○</v>
      </c>
      <c r="AF77" s="87" t="str">
        <f t="shared" ref="AF77:AF112" si="10" xml:space="preserve">
IF(COUNTA(B77:H77)=0,"申請しない場合は入力不要です。",
IF(AND(COUNTA(B77:H77)&gt;=1,COUNTA(B77:H77)&lt;5),"【要修正】種類、品名、内容量、数量、税抜単価の内、未入力の箇所があります。",
IF(COUNTA(B77:H77)=5,"適切に入力がされました。")))</f>
        <v>申請しない場合は入力不要です。</v>
      </c>
      <c r="AH77" s="87">
        <f t="shared" ref="AH77:AH112" si="11">F77*G77</f>
        <v>0</v>
      </c>
    </row>
    <row r="78" spans="1:34" ht="20.149999999999999" customHeight="1">
      <c r="A78" s="38">
        <v>66</v>
      </c>
      <c r="B78" s="99"/>
      <c r="C78" s="887"/>
      <c r="D78" s="888"/>
      <c r="E78" s="889"/>
      <c r="F78" s="100"/>
      <c r="G78" s="100"/>
      <c r="H78" s="101"/>
      <c r="I78" s="83">
        <f t="shared" ref="I78:I112" si="12">ROUNDDOWN(H78*1.1,0)</f>
        <v>0</v>
      </c>
      <c r="J78" s="84">
        <f t="shared" ref="J78:J112" si="13">ROUNDDOWN(G78*I78,0)</f>
        <v>0</v>
      </c>
      <c r="K78" s="85" t="str">
        <f t="shared" ref="K78:K112" si="14">IF(AE78="◎","－","")</f>
        <v/>
      </c>
      <c r="L78" s="85"/>
      <c r="AC78" s="44" t="s">
        <v>517</v>
      </c>
      <c r="AD78" s="86">
        <v>66</v>
      </c>
      <c r="AE78" s="82" t="str">
        <f t="shared" si="9"/>
        <v>○</v>
      </c>
      <c r="AF78" s="87" t="str">
        <f t="shared" si="10"/>
        <v>申請しない場合は入力不要です。</v>
      </c>
      <c r="AH78" s="87">
        <f t="shared" si="11"/>
        <v>0</v>
      </c>
    </row>
    <row r="79" spans="1:34" ht="20.149999999999999" customHeight="1">
      <c r="A79" s="38">
        <v>67</v>
      </c>
      <c r="B79" s="99"/>
      <c r="C79" s="887"/>
      <c r="D79" s="888"/>
      <c r="E79" s="889"/>
      <c r="F79" s="100"/>
      <c r="G79" s="100"/>
      <c r="H79" s="101"/>
      <c r="I79" s="83">
        <f t="shared" si="12"/>
        <v>0</v>
      </c>
      <c r="J79" s="84">
        <f t="shared" si="13"/>
        <v>0</v>
      </c>
      <c r="K79" s="85" t="str">
        <f t="shared" si="14"/>
        <v/>
      </c>
      <c r="L79" s="85"/>
      <c r="AC79" s="44" t="s">
        <v>517</v>
      </c>
      <c r="AD79" s="86">
        <v>67</v>
      </c>
      <c r="AE79" s="82" t="str">
        <f t="shared" si="9"/>
        <v>○</v>
      </c>
      <c r="AF79" s="87" t="str">
        <f t="shared" si="10"/>
        <v>申請しない場合は入力不要です。</v>
      </c>
      <c r="AH79" s="87">
        <f t="shared" si="11"/>
        <v>0</v>
      </c>
    </row>
    <row r="80" spans="1:34" ht="20.149999999999999" customHeight="1">
      <c r="A80" s="38">
        <v>68</v>
      </c>
      <c r="B80" s="99"/>
      <c r="C80" s="887"/>
      <c r="D80" s="888"/>
      <c r="E80" s="889"/>
      <c r="F80" s="100"/>
      <c r="G80" s="100"/>
      <c r="H80" s="101"/>
      <c r="I80" s="83">
        <f t="shared" si="12"/>
        <v>0</v>
      </c>
      <c r="J80" s="84">
        <f t="shared" si="13"/>
        <v>0</v>
      </c>
      <c r="K80" s="85" t="str">
        <f t="shared" si="14"/>
        <v/>
      </c>
      <c r="L80" s="85"/>
      <c r="AC80" s="44" t="s">
        <v>517</v>
      </c>
      <c r="AD80" s="86">
        <v>68</v>
      </c>
      <c r="AE80" s="82" t="str">
        <f t="shared" si="9"/>
        <v>○</v>
      </c>
      <c r="AF80" s="87" t="str">
        <f t="shared" si="10"/>
        <v>申請しない場合は入力不要です。</v>
      </c>
      <c r="AH80" s="87">
        <f t="shared" si="11"/>
        <v>0</v>
      </c>
    </row>
    <row r="81" spans="1:34" ht="20.149999999999999" customHeight="1">
      <c r="A81" s="38">
        <v>69</v>
      </c>
      <c r="B81" s="99"/>
      <c r="C81" s="887"/>
      <c r="D81" s="888"/>
      <c r="E81" s="889"/>
      <c r="F81" s="100"/>
      <c r="G81" s="100"/>
      <c r="H81" s="101"/>
      <c r="I81" s="83">
        <f t="shared" si="12"/>
        <v>0</v>
      </c>
      <c r="J81" s="84">
        <f t="shared" si="13"/>
        <v>0</v>
      </c>
      <c r="K81" s="85" t="str">
        <f t="shared" si="14"/>
        <v/>
      </c>
      <c r="L81" s="85"/>
      <c r="AC81" s="44" t="s">
        <v>517</v>
      </c>
      <c r="AD81" s="86">
        <v>69</v>
      </c>
      <c r="AE81" s="82" t="str">
        <f t="shared" si="9"/>
        <v>○</v>
      </c>
      <c r="AF81" s="87" t="str">
        <f t="shared" si="10"/>
        <v>申請しない場合は入力不要です。</v>
      </c>
      <c r="AH81" s="87">
        <f t="shared" si="11"/>
        <v>0</v>
      </c>
    </row>
    <row r="82" spans="1:34" ht="20.149999999999999" customHeight="1">
      <c r="A82" s="38">
        <v>70</v>
      </c>
      <c r="B82" s="99"/>
      <c r="C82" s="887"/>
      <c r="D82" s="888"/>
      <c r="E82" s="889"/>
      <c r="F82" s="100"/>
      <c r="G82" s="100"/>
      <c r="H82" s="101"/>
      <c r="I82" s="83">
        <f t="shared" si="12"/>
        <v>0</v>
      </c>
      <c r="J82" s="84">
        <f t="shared" si="13"/>
        <v>0</v>
      </c>
      <c r="K82" s="85" t="str">
        <f t="shared" si="14"/>
        <v/>
      </c>
      <c r="L82" s="85"/>
      <c r="AC82" s="44" t="s">
        <v>517</v>
      </c>
      <c r="AD82" s="86">
        <v>70</v>
      </c>
      <c r="AE82" s="82" t="str">
        <f t="shared" si="9"/>
        <v>○</v>
      </c>
      <c r="AF82" s="87" t="str">
        <f t="shared" si="10"/>
        <v>申請しない場合は入力不要です。</v>
      </c>
      <c r="AH82" s="87">
        <f t="shared" si="11"/>
        <v>0</v>
      </c>
    </row>
    <row r="83" spans="1:34" ht="20.149999999999999" customHeight="1">
      <c r="A83" s="38">
        <v>71</v>
      </c>
      <c r="B83" s="99"/>
      <c r="C83" s="887"/>
      <c r="D83" s="888"/>
      <c r="E83" s="889"/>
      <c r="F83" s="100"/>
      <c r="G83" s="100"/>
      <c r="H83" s="101"/>
      <c r="I83" s="83">
        <f t="shared" si="12"/>
        <v>0</v>
      </c>
      <c r="J83" s="84">
        <f t="shared" si="13"/>
        <v>0</v>
      </c>
      <c r="K83" s="85" t="str">
        <f t="shared" si="14"/>
        <v/>
      </c>
      <c r="L83" s="85"/>
      <c r="AC83" s="44" t="s">
        <v>517</v>
      </c>
      <c r="AD83" s="86">
        <v>71</v>
      </c>
      <c r="AE83" s="82" t="str">
        <f t="shared" si="9"/>
        <v>○</v>
      </c>
      <c r="AF83" s="87" t="str">
        <f t="shared" si="10"/>
        <v>申請しない場合は入力不要です。</v>
      </c>
      <c r="AH83" s="87">
        <f t="shared" si="11"/>
        <v>0</v>
      </c>
    </row>
    <row r="84" spans="1:34" ht="20.149999999999999" customHeight="1">
      <c r="A84" s="38">
        <v>72</v>
      </c>
      <c r="B84" s="99"/>
      <c r="C84" s="887"/>
      <c r="D84" s="888"/>
      <c r="E84" s="889"/>
      <c r="F84" s="100"/>
      <c r="G84" s="100"/>
      <c r="H84" s="101"/>
      <c r="I84" s="83">
        <f t="shared" si="12"/>
        <v>0</v>
      </c>
      <c r="J84" s="84">
        <f t="shared" si="13"/>
        <v>0</v>
      </c>
      <c r="K84" s="85" t="str">
        <f t="shared" si="14"/>
        <v/>
      </c>
      <c r="L84" s="85"/>
      <c r="AC84" s="44" t="s">
        <v>517</v>
      </c>
      <c r="AD84" s="86">
        <v>72</v>
      </c>
      <c r="AE84" s="82" t="str">
        <f t="shared" si="9"/>
        <v>○</v>
      </c>
      <c r="AF84" s="87" t="str">
        <f t="shared" si="10"/>
        <v>申請しない場合は入力不要です。</v>
      </c>
      <c r="AH84" s="87">
        <f t="shared" si="11"/>
        <v>0</v>
      </c>
    </row>
    <row r="85" spans="1:34" ht="20.149999999999999" customHeight="1">
      <c r="A85" s="38">
        <v>73</v>
      </c>
      <c r="B85" s="99"/>
      <c r="C85" s="887"/>
      <c r="D85" s="888"/>
      <c r="E85" s="889"/>
      <c r="F85" s="100"/>
      <c r="G85" s="100"/>
      <c r="H85" s="101"/>
      <c r="I85" s="83">
        <f t="shared" si="12"/>
        <v>0</v>
      </c>
      <c r="J85" s="84">
        <f t="shared" si="13"/>
        <v>0</v>
      </c>
      <c r="K85" s="85" t="str">
        <f t="shared" si="14"/>
        <v/>
      </c>
      <c r="L85" s="85"/>
      <c r="AC85" s="44" t="s">
        <v>517</v>
      </c>
      <c r="AD85" s="86">
        <v>73</v>
      </c>
      <c r="AE85" s="82" t="str">
        <f t="shared" si="9"/>
        <v>○</v>
      </c>
      <c r="AF85" s="87" t="str">
        <f t="shared" si="10"/>
        <v>申請しない場合は入力不要です。</v>
      </c>
      <c r="AH85" s="87">
        <f t="shared" si="11"/>
        <v>0</v>
      </c>
    </row>
    <row r="86" spans="1:34" ht="20.149999999999999" customHeight="1">
      <c r="A86" s="38">
        <v>74</v>
      </c>
      <c r="B86" s="99"/>
      <c r="C86" s="887"/>
      <c r="D86" s="888"/>
      <c r="E86" s="889"/>
      <c r="F86" s="100"/>
      <c r="G86" s="100"/>
      <c r="H86" s="101"/>
      <c r="I86" s="83">
        <f t="shared" si="12"/>
        <v>0</v>
      </c>
      <c r="J86" s="84">
        <f t="shared" si="13"/>
        <v>0</v>
      </c>
      <c r="K86" s="85" t="str">
        <f t="shared" si="14"/>
        <v/>
      </c>
      <c r="L86" s="85"/>
      <c r="AC86" s="44" t="s">
        <v>517</v>
      </c>
      <c r="AD86" s="86">
        <v>74</v>
      </c>
      <c r="AE86" s="82" t="str">
        <f t="shared" si="9"/>
        <v>○</v>
      </c>
      <c r="AF86" s="87" t="str">
        <f t="shared" si="10"/>
        <v>申請しない場合は入力不要です。</v>
      </c>
      <c r="AH86" s="87">
        <f t="shared" si="11"/>
        <v>0</v>
      </c>
    </row>
    <row r="87" spans="1:34" ht="20.149999999999999" customHeight="1">
      <c r="A87" s="38">
        <v>75</v>
      </c>
      <c r="B87" s="99"/>
      <c r="C87" s="887"/>
      <c r="D87" s="888"/>
      <c r="E87" s="889"/>
      <c r="F87" s="100"/>
      <c r="G87" s="100"/>
      <c r="H87" s="101"/>
      <c r="I87" s="83">
        <f t="shared" si="12"/>
        <v>0</v>
      </c>
      <c r="J87" s="84">
        <f t="shared" si="13"/>
        <v>0</v>
      </c>
      <c r="K87" s="85" t="str">
        <f t="shared" si="14"/>
        <v/>
      </c>
      <c r="L87" s="85"/>
      <c r="AC87" s="44" t="s">
        <v>517</v>
      </c>
      <c r="AD87" s="86">
        <v>75</v>
      </c>
      <c r="AE87" s="82" t="str">
        <f t="shared" si="9"/>
        <v>○</v>
      </c>
      <c r="AF87" s="87" t="str">
        <f t="shared" si="10"/>
        <v>申請しない場合は入力不要です。</v>
      </c>
      <c r="AH87" s="87">
        <f t="shared" si="11"/>
        <v>0</v>
      </c>
    </row>
    <row r="88" spans="1:34" ht="20.149999999999999" customHeight="1">
      <c r="A88" s="38">
        <v>76</v>
      </c>
      <c r="B88" s="99"/>
      <c r="C88" s="887"/>
      <c r="D88" s="888"/>
      <c r="E88" s="889"/>
      <c r="F88" s="100"/>
      <c r="G88" s="100"/>
      <c r="H88" s="101"/>
      <c r="I88" s="83">
        <f t="shared" si="12"/>
        <v>0</v>
      </c>
      <c r="J88" s="84">
        <f t="shared" si="13"/>
        <v>0</v>
      </c>
      <c r="K88" s="85" t="str">
        <f t="shared" si="14"/>
        <v/>
      </c>
      <c r="L88" s="85"/>
      <c r="AC88" s="44" t="s">
        <v>517</v>
      </c>
      <c r="AD88" s="86">
        <v>76</v>
      </c>
      <c r="AE88" s="82" t="str">
        <f t="shared" si="9"/>
        <v>○</v>
      </c>
      <c r="AF88" s="87" t="str">
        <f t="shared" si="10"/>
        <v>申請しない場合は入力不要です。</v>
      </c>
      <c r="AH88" s="87">
        <f t="shared" si="11"/>
        <v>0</v>
      </c>
    </row>
    <row r="89" spans="1:34" ht="20.149999999999999" customHeight="1">
      <c r="A89" s="38">
        <v>77</v>
      </c>
      <c r="B89" s="99"/>
      <c r="C89" s="887"/>
      <c r="D89" s="888"/>
      <c r="E89" s="889"/>
      <c r="F89" s="100"/>
      <c r="G89" s="100"/>
      <c r="H89" s="101"/>
      <c r="I89" s="83">
        <f t="shared" si="12"/>
        <v>0</v>
      </c>
      <c r="J89" s="84">
        <f t="shared" si="13"/>
        <v>0</v>
      </c>
      <c r="K89" s="85" t="str">
        <f t="shared" si="14"/>
        <v/>
      </c>
      <c r="L89" s="85"/>
      <c r="AC89" s="44" t="s">
        <v>517</v>
      </c>
      <c r="AD89" s="86">
        <v>77</v>
      </c>
      <c r="AE89" s="82" t="str">
        <f t="shared" si="9"/>
        <v>○</v>
      </c>
      <c r="AF89" s="87" t="str">
        <f t="shared" si="10"/>
        <v>申請しない場合は入力不要です。</v>
      </c>
      <c r="AH89" s="87">
        <f t="shared" si="11"/>
        <v>0</v>
      </c>
    </row>
    <row r="90" spans="1:34" ht="20.149999999999999" customHeight="1">
      <c r="A90" s="38">
        <v>78</v>
      </c>
      <c r="B90" s="99"/>
      <c r="C90" s="887"/>
      <c r="D90" s="888"/>
      <c r="E90" s="889"/>
      <c r="F90" s="100"/>
      <c r="G90" s="100"/>
      <c r="H90" s="101"/>
      <c r="I90" s="83">
        <f t="shared" si="12"/>
        <v>0</v>
      </c>
      <c r="J90" s="84">
        <f t="shared" si="13"/>
        <v>0</v>
      </c>
      <c r="K90" s="85" t="str">
        <f t="shared" si="14"/>
        <v/>
      </c>
      <c r="L90" s="85"/>
      <c r="AC90" s="44" t="s">
        <v>517</v>
      </c>
      <c r="AD90" s="86">
        <v>78</v>
      </c>
      <c r="AE90" s="82" t="str">
        <f t="shared" si="9"/>
        <v>○</v>
      </c>
      <c r="AF90" s="87" t="str">
        <f t="shared" si="10"/>
        <v>申請しない場合は入力不要です。</v>
      </c>
      <c r="AH90" s="87">
        <f t="shared" si="11"/>
        <v>0</v>
      </c>
    </row>
    <row r="91" spans="1:34" ht="20.149999999999999" customHeight="1">
      <c r="A91" s="38">
        <v>79</v>
      </c>
      <c r="B91" s="99"/>
      <c r="C91" s="887"/>
      <c r="D91" s="888"/>
      <c r="E91" s="889"/>
      <c r="F91" s="100"/>
      <c r="G91" s="100"/>
      <c r="H91" s="101"/>
      <c r="I91" s="83">
        <f t="shared" si="12"/>
        <v>0</v>
      </c>
      <c r="J91" s="84">
        <f t="shared" si="13"/>
        <v>0</v>
      </c>
      <c r="K91" s="85" t="str">
        <f t="shared" si="14"/>
        <v/>
      </c>
      <c r="L91" s="85"/>
      <c r="AC91" s="44" t="s">
        <v>517</v>
      </c>
      <c r="AD91" s="86">
        <v>79</v>
      </c>
      <c r="AE91" s="82" t="str">
        <f t="shared" si="9"/>
        <v>○</v>
      </c>
      <c r="AF91" s="87" t="str">
        <f t="shared" si="10"/>
        <v>申請しない場合は入力不要です。</v>
      </c>
      <c r="AH91" s="87">
        <f t="shared" si="11"/>
        <v>0</v>
      </c>
    </row>
    <row r="92" spans="1:34" ht="20.149999999999999" customHeight="1">
      <c r="A92" s="38">
        <v>80</v>
      </c>
      <c r="B92" s="99"/>
      <c r="C92" s="887"/>
      <c r="D92" s="888"/>
      <c r="E92" s="889"/>
      <c r="F92" s="100"/>
      <c r="G92" s="100"/>
      <c r="H92" s="101"/>
      <c r="I92" s="83">
        <f t="shared" si="12"/>
        <v>0</v>
      </c>
      <c r="J92" s="84">
        <f t="shared" si="13"/>
        <v>0</v>
      </c>
      <c r="K92" s="85" t="str">
        <f t="shared" si="14"/>
        <v/>
      </c>
      <c r="L92" s="85"/>
      <c r="AC92" s="44" t="s">
        <v>517</v>
      </c>
      <c r="AD92" s="86">
        <v>80</v>
      </c>
      <c r="AE92" s="82" t="str">
        <f t="shared" si="9"/>
        <v>○</v>
      </c>
      <c r="AF92" s="87" t="str">
        <f t="shared" si="10"/>
        <v>申請しない場合は入力不要です。</v>
      </c>
      <c r="AH92" s="87">
        <f t="shared" si="11"/>
        <v>0</v>
      </c>
    </row>
    <row r="93" spans="1:34" ht="20.149999999999999" customHeight="1">
      <c r="A93" s="38">
        <v>81</v>
      </c>
      <c r="B93" s="99"/>
      <c r="C93" s="887"/>
      <c r="D93" s="888"/>
      <c r="E93" s="889"/>
      <c r="F93" s="100"/>
      <c r="G93" s="100"/>
      <c r="H93" s="101"/>
      <c r="I93" s="83">
        <f t="shared" si="12"/>
        <v>0</v>
      </c>
      <c r="J93" s="84">
        <f t="shared" si="13"/>
        <v>0</v>
      </c>
      <c r="K93" s="85" t="str">
        <f t="shared" si="14"/>
        <v/>
      </c>
      <c r="L93" s="85"/>
      <c r="AC93" s="44" t="s">
        <v>517</v>
      </c>
      <c r="AD93" s="86">
        <v>81</v>
      </c>
      <c r="AE93" s="82" t="str">
        <f t="shared" si="9"/>
        <v>○</v>
      </c>
      <c r="AF93" s="87" t="str">
        <f t="shared" si="10"/>
        <v>申請しない場合は入力不要です。</v>
      </c>
      <c r="AH93" s="87">
        <f t="shared" si="11"/>
        <v>0</v>
      </c>
    </row>
    <row r="94" spans="1:34" ht="20.149999999999999" customHeight="1">
      <c r="A94" s="38">
        <v>82</v>
      </c>
      <c r="B94" s="99"/>
      <c r="C94" s="887"/>
      <c r="D94" s="888"/>
      <c r="E94" s="889"/>
      <c r="F94" s="100"/>
      <c r="G94" s="100"/>
      <c r="H94" s="101"/>
      <c r="I94" s="83">
        <f t="shared" si="12"/>
        <v>0</v>
      </c>
      <c r="J94" s="84">
        <f t="shared" si="13"/>
        <v>0</v>
      </c>
      <c r="K94" s="85" t="str">
        <f t="shared" si="14"/>
        <v/>
      </c>
      <c r="L94" s="85"/>
      <c r="AC94" s="44" t="s">
        <v>517</v>
      </c>
      <c r="AD94" s="86">
        <v>82</v>
      </c>
      <c r="AE94" s="82" t="str">
        <f t="shared" si="9"/>
        <v>○</v>
      </c>
      <c r="AF94" s="87" t="str">
        <f t="shared" si="10"/>
        <v>申請しない場合は入力不要です。</v>
      </c>
      <c r="AH94" s="87">
        <f t="shared" si="11"/>
        <v>0</v>
      </c>
    </row>
    <row r="95" spans="1:34" ht="20.149999999999999" customHeight="1">
      <c r="A95" s="38">
        <v>83</v>
      </c>
      <c r="B95" s="99"/>
      <c r="C95" s="887"/>
      <c r="D95" s="888"/>
      <c r="E95" s="889"/>
      <c r="F95" s="100"/>
      <c r="G95" s="100"/>
      <c r="H95" s="101"/>
      <c r="I95" s="83">
        <f t="shared" si="12"/>
        <v>0</v>
      </c>
      <c r="J95" s="84">
        <f t="shared" si="13"/>
        <v>0</v>
      </c>
      <c r="K95" s="85" t="str">
        <f t="shared" si="14"/>
        <v/>
      </c>
      <c r="L95" s="85"/>
      <c r="AC95" s="44" t="s">
        <v>517</v>
      </c>
      <c r="AD95" s="86">
        <v>83</v>
      </c>
      <c r="AE95" s="82" t="str">
        <f t="shared" si="9"/>
        <v>○</v>
      </c>
      <c r="AF95" s="87" t="str">
        <f t="shared" si="10"/>
        <v>申請しない場合は入力不要です。</v>
      </c>
      <c r="AH95" s="87">
        <f t="shared" si="11"/>
        <v>0</v>
      </c>
    </row>
    <row r="96" spans="1:34" ht="20.149999999999999" customHeight="1">
      <c r="A96" s="38">
        <v>84</v>
      </c>
      <c r="B96" s="99"/>
      <c r="C96" s="887"/>
      <c r="D96" s="888"/>
      <c r="E96" s="889"/>
      <c r="F96" s="100"/>
      <c r="G96" s="100"/>
      <c r="H96" s="101"/>
      <c r="I96" s="83">
        <f t="shared" si="12"/>
        <v>0</v>
      </c>
      <c r="J96" s="84">
        <f t="shared" si="13"/>
        <v>0</v>
      </c>
      <c r="K96" s="85" t="str">
        <f t="shared" si="14"/>
        <v/>
      </c>
      <c r="L96" s="85"/>
      <c r="AC96" s="44" t="s">
        <v>517</v>
      </c>
      <c r="AD96" s="86">
        <v>84</v>
      </c>
      <c r="AE96" s="82" t="str">
        <f t="shared" si="9"/>
        <v>○</v>
      </c>
      <c r="AF96" s="87" t="str">
        <f t="shared" si="10"/>
        <v>申請しない場合は入力不要です。</v>
      </c>
      <c r="AH96" s="87">
        <f t="shared" si="11"/>
        <v>0</v>
      </c>
    </row>
    <row r="97" spans="1:34" ht="20.149999999999999" customHeight="1">
      <c r="A97" s="38">
        <v>85</v>
      </c>
      <c r="B97" s="99"/>
      <c r="C97" s="887"/>
      <c r="D97" s="888"/>
      <c r="E97" s="889"/>
      <c r="F97" s="100"/>
      <c r="G97" s="100"/>
      <c r="H97" s="101"/>
      <c r="I97" s="83">
        <f t="shared" si="12"/>
        <v>0</v>
      </c>
      <c r="J97" s="84">
        <f t="shared" si="13"/>
        <v>0</v>
      </c>
      <c r="K97" s="85" t="str">
        <f t="shared" si="14"/>
        <v/>
      </c>
      <c r="L97" s="85"/>
      <c r="AC97" s="44" t="s">
        <v>517</v>
      </c>
      <c r="AD97" s="86">
        <v>85</v>
      </c>
      <c r="AE97" s="82" t="str">
        <f t="shared" si="9"/>
        <v>○</v>
      </c>
      <c r="AF97" s="87" t="str">
        <f t="shared" si="10"/>
        <v>申請しない場合は入力不要です。</v>
      </c>
      <c r="AH97" s="87">
        <f t="shared" si="11"/>
        <v>0</v>
      </c>
    </row>
    <row r="98" spans="1:34" ht="20.149999999999999" customHeight="1">
      <c r="A98" s="38">
        <v>86</v>
      </c>
      <c r="B98" s="99"/>
      <c r="C98" s="887"/>
      <c r="D98" s="888"/>
      <c r="E98" s="889"/>
      <c r="F98" s="100"/>
      <c r="G98" s="100"/>
      <c r="H98" s="101"/>
      <c r="I98" s="83">
        <f t="shared" si="12"/>
        <v>0</v>
      </c>
      <c r="J98" s="84">
        <f t="shared" si="13"/>
        <v>0</v>
      </c>
      <c r="K98" s="85" t="str">
        <f t="shared" si="14"/>
        <v/>
      </c>
      <c r="L98" s="85"/>
      <c r="AC98" s="44" t="s">
        <v>517</v>
      </c>
      <c r="AD98" s="86">
        <v>86</v>
      </c>
      <c r="AE98" s="82" t="str">
        <f t="shared" si="9"/>
        <v>○</v>
      </c>
      <c r="AF98" s="87" t="str">
        <f t="shared" si="10"/>
        <v>申請しない場合は入力不要です。</v>
      </c>
      <c r="AH98" s="87">
        <f t="shared" si="11"/>
        <v>0</v>
      </c>
    </row>
    <row r="99" spans="1:34" ht="20.149999999999999" customHeight="1">
      <c r="A99" s="38">
        <v>87</v>
      </c>
      <c r="B99" s="99"/>
      <c r="C99" s="887"/>
      <c r="D99" s="888"/>
      <c r="E99" s="889"/>
      <c r="F99" s="100"/>
      <c r="G99" s="100"/>
      <c r="H99" s="101"/>
      <c r="I99" s="83">
        <f t="shared" si="12"/>
        <v>0</v>
      </c>
      <c r="J99" s="84">
        <f t="shared" si="13"/>
        <v>0</v>
      </c>
      <c r="K99" s="85" t="str">
        <f t="shared" si="14"/>
        <v/>
      </c>
      <c r="L99" s="85"/>
      <c r="AC99" s="44" t="s">
        <v>517</v>
      </c>
      <c r="AD99" s="86">
        <v>87</v>
      </c>
      <c r="AE99" s="82" t="str">
        <f t="shared" si="9"/>
        <v>○</v>
      </c>
      <c r="AF99" s="87" t="str">
        <f t="shared" si="10"/>
        <v>申請しない場合は入力不要です。</v>
      </c>
      <c r="AH99" s="87">
        <f t="shared" si="11"/>
        <v>0</v>
      </c>
    </row>
    <row r="100" spans="1:34" ht="20.149999999999999" customHeight="1">
      <c r="A100" s="38">
        <v>88</v>
      </c>
      <c r="B100" s="99"/>
      <c r="C100" s="887"/>
      <c r="D100" s="888"/>
      <c r="E100" s="889"/>
      <c r="F100" s="100"/>
      <c r="G100" s="100"/>
      <c r="H100" s="101"/>
      <c r="I100" s="83">
        <f t="shared" si="12"/>
        <v>0</v>
      </c>
      <c r="J100" s="84">
        <f t="shared" si="13"/>
        <v>0</v>
      </c>
      <c r="K100" s="85" t="str">
        <f t="shared" si="14"/>
        <v/>
      </c>
      <c r="L100" s="85"/>
      <c r="AC100" s="44" t="s">
        <v>517</v>
      </c>
      <c r="AD100" s="86">
        <v>88</v>
      </c>
      <c r="AE100" s="82" t="str">
        <f t="shared" si="9"/>
        <v>○</v>
      </c>
      <c r="AF100" s="87" t="str">
        <f t="shared" si="10"/>
        <v>申請しない場合は入力不要です。</v>
      </c>
      <c r="AH100" s="87">
        <f t="shared" si="11"/>
        <v>0</v>
      </c>
    </row>
    <row r="101" spans="1:34" ht="20.149999999999999" customHeight="1">
      <c r="A101" s="38">
        <v>89</v>
      </c>
      <c r="B101" s="99"/>
      <c r="C101" s="887"/>
      <c r="D101" s="888"/>
      <c r="E101" s="889"/>
      <c r="F101" s="100"/>
      <c r="G101" s="100"/>
      <c r="H101" s="101"/>
      <c r="I101" s="83">
        <f t="shared" si="12"/>
        <v>0</v>
      </c>
      <c r="J101" s="84">
        <f t="shared" si="13"/>
        <v>0</v>
      </c>
      <c r="K101" s="85" t="str">
        <f t="shared" si="14"/>
        <v/>
      </c>
      <c r="L101" s="85"/>
      <c r="AC101" s="44" t="s">
        <v>517</v>
      </c>
      <c r="AD101" s="86">
        <v>89</v>
      </c>
      <c r="AE101" s="82" t="str">
        <f t="shared" si="9"/>
        <v>○</v>
      </c>
      <c r="AF101" s="87" t="str">
        <f t="shared" si="10"/>
        <v>申請しない場合は入力不要です。</v>
      </c>
      <c r="AH101" s="87">
        <f t="shared" si="11"/>
        <v>0</v>
      </c>
    </row>
    <row r="102" spans="1:34" ht="20.149999999999999" customHeight="1">
      <c r="A102" s="38">
        <v>90</v>
      </c>
      <c r="B102" s="99"/>
      <c r="C102" s="887"/>
      <c r="D102" s="888"/>
      <c r="E102" s="889"/>
      <c r="F102" s="100"/>
      <c r="G102" s="100"/>
      <c r="H102" s="101"/>
      <c r="I102" s="83">
        <f t="shared" si="12"/>
        <v>0</v>
      </c>
      <c r="J102" s="84">
        <f t="shared" si="13"/>
        <v>0</v>
      </c>
      <c r="K102" s="85" t="str">
        <f t="shared" si="14"/>
        <v/>
      </c>
      <c r="L102" s="85"/>
      <c r="AC102" s="44" t="s">
        <v>517</v>
      </c>
      <c r="AD102" s="86">
        <v>90</v>
      </c>
      <c r="AE102" s="82" t="str">
        <f t="shared" si="9"/>
        <v>○</v>
      </c>
      <c r="AF102" s="87" t="str">
        <f t="shared" si="10"/>
        <v>申請しない場合は入力不要です。</v>
      </c>
      <c r="AH102" s="87">
        <f t="shared" si="11"/>
        <v>0</v>
      </c>
    </row>
    <row r="103" spans="1:34" ht="20.149999999999999" customHeight="1">
      <c r="A103" s="38">
        <v>91</v>
      </c>
      <c r="B103" s="99"/>
      <c r="C103" s="887"/>
      <c r="D103" s="888"/>
      <c r="E103" s="889"/>
      <c r="F103" s="100"/>
      <c r="G103" s="100"/>
      <c r="H103" s="101"/>
      <c r="I103" s="83">
        <f t="shared" si="12"/>
        <v>0</v>
      </c>
      <c r="J103" s="84">
        <f t="shared" si="13"/>
        <v>0</v>
      </c>
      <c r="K103" s="85" t="str">
        <f t="shared" si="14"/>
        <v/>
      </c>
      <c r="L103" s="85"/>
      <c r="AC103" s="44" t="s">
        <v>517</v>
      </c>
      <c r="AD103" s="86">
        <v>91</v>
      </c>
      <c r="AE103" s="82" t="str">
        <f t="shared" si="9"/>
        <v>○</v>
      </c>
      <c r="AF103" s="87" t="str">
        <f t="shared" si="10"/>
        <v>申請しない場合は入力不要です。</v>
      </c>
      <c r="AH103" s="87">
        <f t="shared" si="11"/>
        <v>0</v>
      </c>
    </row>
    <row r="104" spans="1:34" ht="20.149999999999999" customHeight="1">
      <c r="A104" s="38">
        <v>92</v>
      </c>
      <c r="B104" s="99"/>
      <c r="C104" s="887"/>
      <c r="D104" s="888"/>
      <c r="E104" s="889"/>
      <c r="F104" s="100"/>
      <c r="G104" s="100"/>
      <c r="H104" s="101"/>
      <c r="I104" s="83">
        <f t="shared" si="12"/>
        <v>0</v>
      </c>
      <c r="J104" s="84">
        <f t="shared" si="13"/>
        <v>0</v>
      </c>
      <c r="K104" s="85" t="str">
        <f t="shared" si="14"/>
        <v/>
      </c>
      <c r="L104" s="85"/>
      <c r="AC104" s="44" t="s">
        <v>517</v>
      </c>
      <c r="AD104" s="86">
        <v>92</v>
      </c>
      <c r="AE104" s="82" t="str">
        <f t="shared" si="9"/>
        <v>○</v>
      </c>
      <c r="AF104" s="87" t="str">
        <f t="shared" si="10"/>
        <v>申請しない場合は入力不要です。</v>
      </c>
      <c r="AH104" s="87">
        <f t="shared" si="11"/>
        <v>0</v>
      </c>
    </row>
    <row r="105" spans="1:34" ht="20.149999999999999" customHeight="1">
      <c r="A105" s="38">
        <v>93</v>
      </c>
      <c r="B105" s="99"/>
      <c r="C105" s="887"/>
      <c r="D105" s="888"/>
      <c r="E105" s="889"/>
      <c r="F105" s="100"/>
      <c r="G105" s="100"/>
      <c r="H105" s="101"/>
      <c r="I105" s="83">
        <f t="shared" si="12"/>
        <v>0</v>
      </c>
      <c r="J105" s="84">
        <f t="shared" si="13"/>
        <v>0</v>
      </c>
      <c r="K105" s="85" t="str">
        <f t="shared" si="14"/>
        <v/>
      </c>
      <c r="L105" s="85"/>
      <c r="AC105" s="44" t="s">
        <v>517</v>
      </c>
      <c r="AD105" s="86">
        <v>93</v>
      </c>
      <c r="AE105" s="82" t="str">
        <f t="shared" si="9"/>
        <v>○</v>
      </c>
      <c r="AF105" s="87" t="str">
        <f t="shared" si="10"/>
        <v>申請しない場合は入力不要です。</v>
      </c>
      <c r="AH105" s="87">
        <f t="shared" si="11"/>
        <v>0</v>
      </c>
    </row>
    <row r="106" spans="1:34" ht="20.149999999999999" customHeight="1">
      <c r="A106" s="38">
        <v>94</v>
      </c>
      <c r="B106" s="99"/>
      <c r="C106" s="887"/>
      <c r="D106" s="888"/>
      <c r="E106" s="889"/>
      <c r="F106" s="100"/>
      <c r="G106" s="100"/>
      <c r="H106" s="101"/>
      <c r="I106" s="83">
        <f t="shared" si="12"/>
        <v>0</v>
      </c>
      <c r="J106" s="84">
        <f t="shared" si="13"/>
        <v>0</v>
      </c>
      <c r="K106" s="85" t="str">
        <f t="shared" si="14"/>
        <v/>
      </c>
      <c r="L106" s="85"/>
      <c r="AC106" s="44" t="s">
        <v>517</v>
      </c>
      <c r="AD106" s="86">
        <v>94</v>
      </c>
      <c r="AE106" s="82" t="str">
        <f t="shared" si="9"/>
        <v>○</v>
      </c>
      <c r="AF106" s="87" t="str">
        <f t="shared" si="10"/>
        <v>申請しない場合は入力不要です。</v>
      </c>
      <c r="AH106" s="87">
        <f t="shared" si="11"/>
        <v>0</v>
      </c>
    </row>
    <row r="107" spans="1:34" ht="20.149999999999999" customHeight="1">
      <c r="A107" s="38">
        <v>95</v>
      </c>
      <c r="B107" s="99"/>
      <c r="C107" s="887"/>
      <c r="D107" s="888"/>
      <c r="E107" s="889"/>
      <c r="F107" s="100"/>
      <c r="G107" s="100"/>
      <c r="H107" s="101"/>
      <c r="I107" s="83">
        <f t="shared" si="12"/>
        <v>0</v>
      </c>
      <c r="J107" s="84">
        <f t="shared" si="13"/>
        <v>0</v>
      </c>
      <c r="K107" s="85" t="str">
        <f t="shared" si="14"/>
        <v/>
      </c>
      <c r="L107" s="85"/>
      <c r="AC107" s="44" t="s">
        <v>517</v>
      </c>
      <c r="AD107" s="86">
        <v>95</v>
      </c>
      <c r="AE107" s="82" t="str">
        <f t="shared" si="9"/>
        <v>○</v>
      </c>
      <c r="AF107" s="87" t="str">
        <f t="shared" si="10"/>
        <v>申請しない場合は入力不要です。</v>
      </c>
      <c r="AH107" s="87">
        <f t="shared" si="11"/>
        <v>0</v>
      </c>
    </row>
    <row r="108" spans="1:34" ht="20.149999999999999" customHeight="1">
      <c r="A108" s="38">
        <v>96</v>
      </c>
      <c r="B108" s="99"/>
      <c r="C108" s="887"/>
      <c r="D108" s="888"/>
      <c r="E108" s="889"/>
      <c r="F108" s="100"/>
      <c r="G108" s="100"/>
      <c r="H108" s="101"/>
      <c r="I108" s="83">
        <f t="shared" si="12"/>
        <v>0</v>
      </c>
      <c r="J108" s="84">
        <f t="shared" si="13"/>
        <v>0</v>
      </c>
      <c r="K108" s="85" t="str">
        <f t="shared" si="14"/>
        <v/>
      </c>
      <c r="L108" s="85"/>
      <c r="AC108" s="44" t="s">
        <v>517</v>
      </c>
      <c r="AD108" s="86">
        <v>96</v>
      </c>
      <c r="AE108" s="82" t="str">
        <f t="shared" si="9"/>
        <v>○</v>
      </c>
      <c r="AF108" s="87" t="str">
        <f t="shared" si="10"/>
        <v>申請しない場合は入力不要です。</v>
      </c>
      <c r="AH108" s="87">
        <f t="shared" si="11"/>
        <v>0</v>
      </c>
    </row>
    <row r="109" spans="1:34" ht="20.149999999999999" customHeight="1">
      <c r="A109" s="38">
        <v>97</v>
      </c>
      <c r="B109" s="99"/>
      <c r="C109" s="887"/>
      <c r="D109" s="888"/>
      <c r="E109" s="889"/>
      <c r="F109" s="100"/>
      <c r="G109" s="100"/>
      <c r="H109" s="101"/>
      <c r="I109" s="83">
        <f t="shared" si="12"/>
        <v>0</v>
      </c>
      <c r="J109" s="84">
        <f t="shared" si="13"/>
        <v>0</v>
      </c>
      <c r="K109" s="85" t="str">
        <f t="shared" si="14"/>
        <v/>
      </c>
      <c r="L109" s="85"/>
      <c r="AC109" s="44" t="s">
        <v>517</v>
      </c>
      <c r="AD109" s="86">
        <v>97</v>
      </c>
      <c r="AE109" s="82" t="str">
        <f t="shared" si="9"/>
        <v>○</v>
      </c>
      <c r="AF109" s="87" t="str">
        <f t="shared" si="10"/>
        <v>申請しない場合は入力不要です。</v>
      </c>
      <c r="AH109" s="87">
        <f t="shared" si="11"/>
        <v>0</v>
      </c>
    </row>
    <row r="110" spans="1:34" ht="20.149999999999999" customHeight="1">
      <c r="A110" s="38">
        <v>98</v>
      </c>
      <c r="B110" s="99"/>
      <c r="C110" s="887"/>
      <c r="D110" s="888"/>
      <c r="E110" s="889"/>
      <c r="F110" s="100"/>
      <c r="G110" s="100"/>
      <c r="H110" s="101"/>
      <c r="I110" s="83">
        <f t="shared" si="12"/>
        <v>0</v>
      </c>
      <c r="J110" s="84">
        <f t="shared" si="13"/>
        <v>0</v>
      </c>
      <c r="K110" s="85" t="str">
        <f t="shared" si="14"/>
        <v/>
      </c>
      <c r="L110" s="85"/>
      <c r="AC110" s="44" t="s">
        <v>517</v>
      </c>
      <c r="AD110" s="86">
        <v>98</v>
      </c>
      <c r="AE110" s="82" t="str">
        <f t="shared" si="9"/>
        <v>○</v>
      </c>
      <c r="AF110" s="87" t="str">
        <f t="shared" si="10"/>
        <v>申請しない場合は入力不要です。</v>
      </c>
      <c r="AH110" s="87">
        <f t="shared" si="11"/>
        <v>0</v>
      </c>
    </row>
    <row r="111" spans="1:34" ht="20.149999999999999" customHeight="1">
      <c r="A111" s="38">
        <v>99</v>
      </c>
      <c r="B111" s="99"/>
      <c r="C111" s="887"/>
      <c r="D111" s="888"/>
      <c r="E111" s="889"/>
      <c r="F111" s="100"/>
      <c r="G111" s="100"/>
      <c r="H111" s="101"/>
      <c r="I111" s="83">
        <f t="shared" si="12"/>
        <v>0</v>
      </c>
      <c r="J111" s="84">
        <f t="shared" si="13"/>
        <v>0</v>
      </c>
      <c r="K111" s="85" t="str">
        <f t="shared" si="14"/>
        <v/>
      </c>
      <c r="L111" s="85"/>
      <c r="AC111" s="44" t="s">
        <v>517</v>
      </c>
      <c r="AD111" s="86">
        <v>99</v>
      </c>
      <c r="AE111" s="82" t="str">
        <f t="shared" si="9"/>
        <v>○</v>
      </c>
      <c r="AF111" s="87" t="str">
        <f t="shared" si="10"/>
        <v>申請しない場合は入力不要です。</v>
      </c>
      <c r="AH111" s="87">
        <f t="shared" si="11"/>
        <v>0</v>
      </c>
    </row>
    <row r="112" spans="1:34" ht="20.149999999999999" customHeight="1">
      <c r="A112" s="38">
        <v>100</v>
      </c>
      <c r="B112" s="99"/>
      <c r="C112" s="887"/>
      <c r="D112" s="888"/>
      <c r="E112" s="889"/>
      <c r="F112" s="100"/>
      <c r="G112" s="100"/>
      <c r="H112" s="101"/>
      <c r="I112" s="83">
        <f t="shared" si="12"/>
        <v>0</v>
      </c>
      <c r="J112" s="84">
        <f t="shared" si="13"/>
        <v>0</v>
      </c>
      <c r="K112" s="85" t="str">
        <f t="shared" si="14"/>
        <v/>
      </c>
      <c r="L112" s="85"/>
      <c r="AC112" s="44" t="s">
        <v>517</v>
      </c>
      <c r="AD112" s="86">
        <v>100</v>
      </c>
      <c r="AE112" s="82" t="str">
        <f t="shared" si="9"/>
        <v>○</v>
      </c>
      <c r="AF112" s="87" t="str">
        <f t="shared" si="10"/>
        <v>申請しない場合は入力不要です。</v>
      </c>
      <c r="AH112" s="87">
        <f t="shared" si="11"/>
        <v>0</v>
      </c>
    </row>
    <row r="117" spans="38:46" ht="30" customHeight="1">
      <c r="AL117" s="82" t="s">
        <v>518</v>
      </c>
      <c r="AM117" s="82" t="s">
        <v>128</v>
      </c>
      <c r="AN117" s="82" t="s">
        <v>125</v>
      </c>
      <c r="AO117" s="82" t="s">
        <v>82</v>
      </c>
      <c r="AP117" s="901" t="s">
        <v>519</v>
      </c>
      <c r="AQ117" s="902"/>
      <c r="AR117" s="902"/>
      <c r="AS117" s="902"/>
      <c r="AT117" s="902"/>
    </row>
    <row r="118" spans="38:46" ht="30" customHeight="1">
      <c r="AL118" s="87" t="s">
        <v>520</v>
      </c>
      <c r="AM118" s="88" t="str">
        <f>IF(COUNTA(C6:C7)=0,"○",IF(OR(COUNTA(C6:C7)=1,C6=0,C7=0),"×",IF(COUNTA(C6:C7)=2,"◎")))</f>
        <v>○</v>
      </c>
      <c r="AN118" s="904" t="str">
        <f xml:space="preserve">
IF(AND(AM118="×",AM119="×"),"×",
IF(AND(AM118="×",AM119="○"),"×",
IF(AND(AM118="×",AM119="◎"),"×",
IF(AND(AM118="○",AM119="×"),"×",
IF(AND(AM118="○",AM119="○"),"○",
IF(AND(AM118="○",AM119="◎"),"×",
IF(AND(AM118="◎",AM119="×"),"×",
IF(AND(AM118="◎",AM119="○"),"×",
IF(AND(AM118="◎",AM119="◎"),"◎",
)))))))))</f>
        <v>○</v>
      </c>
      <c r="AO118" s="906" t="str">
        <f xml:space="preserve">
IF(AND(AM118="×",AM119="×"),"【要修正】「１．はじめに」及び「２．防護具情報」いずれも入力が不十分です。",
IF(AND(AM118="×",AM119="○"),"【要修正】「１．はじめに」が入力不十分、また「２．防護具情報」が未入力です。",
IF(AND(AM118="×",AM119="◎"),"【要修正】「１．はじめに」が入力不十分です。",
IF(AND(AM118="○",AM119="×"),"【要修正】「１．はじめに」が未入力、「２．防護具情報」に入力不十分な箇所があります。",
IF(AND(AM118="○",AM119="○"),"個人防護具の補助申請を行わない場合は入力不要です。",
IF(AND(AM118="○",AM119="◎"),"【要修正】「１．はじめに」が未入力です。",
IF(AND(AM118="◎",AM119="×"),"【要修正】「２．防護具情報」に入力不十分な箇所があります。",
IF(AND(AM118="◎",AM119="○"),"【要修正】「２．防護具情報」に入力不十分な箇所があります。",
IF(AND(AM118="◎",AM119="◎"),"いずれの項目も適切に入力されました。",
)))))))))</f>
        <v>個人防護具の補助申請を行わない場合は入力不要です。</v>
      </c>
      <c r="AP118" s="903"/>
      <c r="AQ118" s="902"/>
      <c r="AR118" s="902"/>
      <c r="AS118" s="902"/>
      <c r="AT118" s="902"/>
    </row>
    <row r="119" spans="38:46" ht="30" customHeight="1">
      <c r="AL119" s="87" t="s">
        <v>521</v>
      </c>
      <c r="AM119" s="88" t="str">
        <f>IF(COUNTIF(AE13:AE112,"×")&gt;=1,"×",IF(COUNTIF(AE13:AE112,"○")=100,"○","◎"))</f>
        <v>○</v>
      </c>
      <c r="AN119" s="905"/>
      <c r="AO119" s="907"/>
      <c r="AP119" s="903"/>
      <c r="AQ119" s="902"/>
      <c r="AR119" s="902"/>
      <c r="AS119" s="902"/>
      <c r="AT119" s="902"/>
    </row>
    <row r="120" spans="38:46" ht="30" customHeight="1">
      <c r="AL120" s="89" t="s">
        <v>522</v>
      </c>
      <c r="AM120" s="63"/>
      <c r="AN120" s="63"/>
      <c r="AO120" s="61"/>
      <c r="AP120" s="61"/>
      <c r="AQ120" s="62"/>
      <c r="AR120" s="62"/>
      <c r="AS120" s="62"/>
      <c r="AT120" s="62"/>
    </row>
    <row r="122" spans="38:46" ht="20.149999999999999" customHeight="1">
      <c r="AQ122" s="90" t="s">
        <v>523</v>
      </c>
      <c r="AR122" s="90" t="s">
        <v>68</v>
      </c>
      <c r="AS122" s="90" t="s">
        <v>524</v>
      </c>
    </row>
    <row r="123" spans="38:46" ht="20.149999999999999" customHeight="1">
      <c r="AQ123" s="87" t="s">
        <v>525</v>
      </c>
      <c r="AR123" s="91">
        <f t="shared" ref="AR123:AR128" si="15">SUMIF($B$13:$B$112,AQ123,$AH$13:$AH$112)</f>
        <v>0</v>
      </c>
      <c r="AS123" s="93">
        <f>IFERROR(ROUNDDOWN(AR123/$C$8,1),0)</f>
        <v>0</v>
      </c>
    </row>
    <row r="124" spans="38:46" ht="20.149999999999999" customHeight="1">
      <c r="AQ124" s="87" t="s">
        <v>526</v>
      </c>
      <c r="AR124" s="91">
        <f t="shared" si="15"/>
        <v>0</v>
      </c>
      <c r="AS124" s="96">
        <f t="shared" ref="AS124:AS128" si="16">IFERROR(ROUNDDOWN(AR124/$C$8,1),0)</f>
        <v>0</v>
      </c>
    </row>
    <row r="125" spans="38:46" ht="20.149999999999999" customHeight="1">
      <c r="AQ125" s="87" t="s">
        <v>527</v>
      </c>
      <c r="AR125" s="91">
        <f t="shared" si="15"/>
        <v>0</v>
      </c>
      <c r="AS125" s="95">
        <f t="shared" si="16"/>
        <v>0</v>
      </c>
    </row>
    <row r="126" spans="38:46" ht="20.149999999999999" customHeight="1">
      <c r="AQ126" s="87" t="s">
        <v>528</v>
      </c>
      <c r="AR126" s="91">
        <f t="shared" si="15"/>
        <v>0</v>
      </c>
      <c r="AS126" s="94">
        <f>IFERROR(ROUNDDOWN(AR126/2/$C$8,1),0)</f>
        <v>0</v>
      </c>
    </row>
    <row r="127" spans="38:46" ht="20.149999999999999" customHeight="1">
      <c r="AQ127" s="87" t="s">
        <v>529</v>
      </c>
      <c r="AR127" s="91">
        <f t="shared" si="15"/>
        <v>0</v>
      </c>
      <c r="AS127" s="93">
        <f t="shared" si="16"/>
        <v>0</v>
      </c>
    </row>
    <row r="128" spans="38:46" ht="20.149999999999999" customHeight="1">
      <c r="AQ128" s="87" t="s">
        <v>530</v>
      </c>
      <c r="AR128" s="91">
        <f t="shared" si="15"/>
        <v>0</v>
      </c>
      <c r="AS128" s="93">
        <f t="shared" si="16"/>
        <v>0</v>
      </c>
    </row>
  </sheetData>
  <sheetProtection algorithmName="SHA-512" hashValue="7m9bRi3PYPIvRuJExR2Lhb9lQBxIQ/T0r5u8YVyyop/Ms+LHGKMtMFVfLHvWHy8hIgxItNuHdC+dxC1UGxHWsg==" saltValue="O//lIe2wO9YGQxbFfz/bJg==" spinCount="100000" sheet="1" insertRows="0"/>
  <mergeCells count="113">
    <mergeCell ref="C112:E112"/>
    <mergeCell ref="AP117:AT119"/>
    <mergeCell ref="AN118:AN119"/>
    <mergeCell ref="AO118:AO119"/>
    <mergeCell ref="H7:J8"/>
    <mergeCell ref="C106:E106"/>
    <mergeCell ref="C107:E107"/>
    <mergeCell ref="C108:E108"/>
    <mergeCell ref="C109:E109"/>
    <mergeCell ref="C110:E110"/>
    <mergeCell ref="C111:E111"/>
    <mergeCell ref="C100:E100"/>
    <mergeCell ref="C101:E101"/>
    <mergeCell ref="C102:E102"/>
    <mergeCell ref="C103:E103"/>
    <mergeCell ref="C104:E104"/>
    <mergeCell ref="C105:E105"/>
    <mergeCell ref="C94:E94"/>
    <mergeCell ref="C95:E95"/>
    <mergeCell ref="C96:E96"/>
    <mergeCell ref="C97:E97"/>
    <mergeCell ref="C98:E98"/>
    <mergeCell ref="C99:E99"/>
    <mergeCell ref="C88:E88"/>
    <mergeCell ref="C89:E89"/>
    <mergeCell ref="C90:E90"/>
    <mergeCell ref="C91:E91"/>
    <mergeCell ref="C92:E92"/>
    <mergeCell ref="C93:E93"/>
    <mergeCell ref="C82:E82"/>
    <mergeCell ref="C83:E83"/>
    <mergeCell ref="C84:E84"/>
    <mergeCell ref="C85:E85"/>
    <mergeCell ref="C86:E86"/>
    <mergeCell ref="C87:E87"/>
    <mergeCell ref="C76:E76"/>
    <mergeCell ref="C77:E77"/>
    <mergeCell ref="C78:E78"/>
    <mergeCell ref="C79:E79"/>
    <mergeCell ref="C80:E80"/>
    <mergeCell ref="C81:E81"/>
    <mergeCell ref="C70:E70"/>
    <mergeCell ref="C71:E71"/>
    <mergeCell ref="C72:E72"/>
    <mergeCell ref="C73:E73"/>
    <mergeCell ref="C74:E74"/>
    <mergeCell ref="C75:E75"/>
    <mergeCell ref="C64:E64"/>
    <mergeCell ref="C65:E65"/>
    <mergeCell ref="C66:E66"/>
    <mergeCell ref="C67:E67"/>
    <mergeCell ref="C68:E68"/>
    <mergeCell ref="C69:E69"/>
    <mergeCell ref="C58:E58"/>
    <mergeCell ref="C59:E59"/>
    <mergeCell ref="C60:E60"/>
    <mergeCell ref="C61:E61"/>
    <mergeCell ref="C62:E62"/>
    <mergeCell ref="C63:E63"/>
    <mergeCell ref="C52:E52"/>
    <mergeCell ref="C53:E53"/>
    <mergeCell ref="C54:E54"/>
    <mergeCell ref="C55:E55"/>
    <mergeCell ref="C56:E56"/>
    <mergeCell ref="C57:E57"/>
    <mergeCell ref="C46:E46"/>
    <mergeCell ref="C47:E47"/>
    <mergeCell ref="C48:E48"/>
    <mergeCell ref="C49:E49"/>
    <mergeCell ref="C50:E50"/>
    <mergeCell ref="C51:E51"/>
    <mergeCell ref="C40:E40"/>
    <mergeCell ref="C41:E41"/>
    <mergeCell ref="C42:E42"/>
    <mergeCell ref="C43:E43"/>
    <mergeCell ref="C44:E44"/>
    <mergeCell ref="C45:E45"/>
    <mergeCell ref="C34:E34"/>
    <mergeCell ref="C35:E35"/>
    <mergeCell ref="C36:E36"/>
    <mergeCell ref="C37:E37"/>
    <mergeCell ref="C38:E38"/>
    <mergeCell ref="C39:E39"/>
    <mergeCell ref="C28:E28"/>
    <mergeCell ref="C29:E29"/>
    <mergeCell ref="C30:E30"/>
    <mergeCell ref="C31:E31"/>
    <mergeCell ref="C32:E32"/>
    <mergeCell ref="C33:E33"/>
    <mergeCell ref="C22:E22"/>
    <mergeCell ref="C23:E23"/>
    <mergeCell ref="C24:E24"/>
    <mergeCell ref="C25:E25"/>
    <mergeCell ref="C26:E26"/>
    <mergeCell ref="C27:E27"/>
    <mergeCell ref="C19:E19"/>
    <mergeCell ref="C20:E20"/>
    <mergeCell ref="C21:E21"/>
    <mergeCell ref="A10:B10"/>
    <mergeCell ref="A11:K11"/>
    <mergeCell ref="C12:E12"/>
    <mergeCell ref="C13:E13"/>
    <mergeCell ref="C14:E14"/>
    <mergeCell ref="C15:E15"/>
    <mergeCell ref="K1:M1"/>
    <mergeCell ref="E6:G6"/>
    <mergeCell ref="F7:G7"/>
    <mergeCell ref="F8:G8"/>
    <mergeCell ref="C16:E16"/>
    <mergeCell ref="C17:E17"/>
    <mergeCell ref="C18:E18"/>
    <mergeCell ref="K2:L2"/>
    <mergeCell ref="A5:J5"/>
  </mergeCells>
  <phoneticPr fontId="5"/>
  <conditionalFormatting sqref="AG7">
    <cfRule type="containsText" dxfId="55" priority="8" operator="containsText" text="（補助対象員数）">
      <formula>NOT(ISERROR(SEARCH("（補助対象員数）",AG7)))</formula>
    </cfRule>
  </conditionalFormatting>
  <conditionalFormatting sqref="AF13:AF112">
    <cfRule type="containsText" dxfId="54" priority="7" operator="containsText" text="【不備の点】">
      <formula>NOT(ISERROR(SEARCH("【不備の点】",AF13)))</formula>
    </cfRule>
  </conditionalFormatting>
  <conditionalFormatting sqref="AE13:AE112">
    <cfRule type="containsText" dxfId="53" priority="6" operator="containsText" text="×">
      <formula>NOT(ISERROR(SEARCH("×",AE13)))</formula>
    </cfRule>
  </conditionalFormatting>
  <conditionalFormatting sqref="AG7:AJ12">
    <cfRule type="containsText" dxfId="52" priority="5" operator="containsText" text="【未入力有】">
      <formula>NOT(ISERROR(SEARCH("【未入力有】",AG7)))</formula>
    </cfRule>
  </conditionalFormatting>
  <conditionalFormatting sqref="AM118:AN119">
    <cfRule type="containsText" dxfId="51" priority="4" operator="containsText" text="×">
      <formula>NOT(ISERROR(SEARCH("×",AM118)))</formula>
    </cfRule>
  </conditionalFormatting>
  <conditionalFormatting sqref="AO118:AO119 K2">
    <cfRule type="containsText" dxfId="50" priority="3" operator="containsText" text="要修正">
      <formula>NOT(ISERROR(SEARCH("要修正",K2)))</formula>
    </cfRule>
  </conditionalFormatting>
  <conditionalFormatting sqref="H3:L4">
    <cfRule type="containsText" dxfId="49" priority="2" operator="containsText" text="要修正">
      <formula>NOT(ISERROR(SEARCH("要修正",H3)))</formula>
    </cfRule>
  </conditionalFormatting>
  <conditionalFormatting sqref="AS123:AS128">
    <cfRule type="cellIs" dxfId="48" priority="1" operator="greaterThan">
      <formula>19</formula>
    </cfRule>
  </conditionalFormatting>
  <dataValidations xWindow="1209" yWindow="531" count="9">
    <dataValidation allowBlank="1" showInputMessage="1" showErrorMessage="1" promptTitle="品名の入力" prompt="購入予定である個人防護具の品名を入力してください。（型番のみの入力の場合、購入内容が不明のため修正を依頼させていただきますのでご注意ください。）" sqref="C13:E112" xr:uid="{00000000-0002-0000-1000-000000000000}"/>
    <dataValidation allowBlank="1" showInputMessage="1" showErrorMessage="1" promptTitle="税抜単価の入力" prompt="購入単価の税抜額を入力してください。_x000a_見積書の記載が税込額だけで、税抜額がわからない場合は上の算出欄をご利用ください。_x000a_入力しない方は「0」は入力せず、空欄としてください。" sqref="H13:H112" xr:uid="{00000000-0002-0000-1000-000001000000}"/>
    <dataValidation allowBlank="1" showInputMessage="1" showErrorMessage="1" promptTitle="購入数量の入力" prompt="購入するセット数を入力してください。（１箱50枚入りのマスクを10箱買う場合は、「10」を入力）" sqref="G13:G112" xr:uid="{00000000-0002-0000-1000-000002000000}"/>
    <dataValidation allowBlank="1" showInputMessage="1" showErrorMessage="1" promptTitle="購入単位あたりの内容量を入力" prompt="購入単位あたりの内容量（１箱50枚のマスクならば、「50」）を入力してください。" sqref="F13:F112" xr:uid="{00000000-0002-0000-1000-000003000000}"/>
    <dataValidation type="custom" allowBlank="1" showInputMessage="1" showErrorMessage="1" errorTitle="入力数値に誤りがあります。" error="令和４年10月１日から翌年３月31日までの日数の範囲内で入力してください。" sqref="C6" xr:uid="{00000000-0002-0000-1000-000004000000}">
      <formula1>C6&lt;=182</formula1>
    </dataValidation>
    <dataValidation allowBlank="1" showInputMessage="1" showErrorMessage="1" promptTitle="単価の入力" prompt="税抜額または税込額のいずれかを入力してください。_x000a_入力しない方は「0」は入力せず、空欄としてください。" sqref="I13:I112" xr:uid="{00000000-0002-0000-1000-000005000000}"/>
    <dataValidation allowBlank="1" showInputMessage="1" showErrorMessage="1" promptTitle="添付書類番号" prompt="種類、規格、数量、単価が全て適切に入力され、右の「判定」が「◎」と表示されると自動で番号が表示されます。" sqref="K13:L112" xr:uid="{00000000-0002-0000-1000-000006000000}"/>
    <dataValidation allowBlank="1" showInputMessage="1" showErrorMessage="1" promptTitle="金額の表示" prompt="数式が入力されているため、自動計算されます。" sqref="J13:J112" xr:uid="{00000000-0002-0000-1000-000007000000}"/>
    <dataValidation type="list" allowBlank="1" showInputMessage="1" showErrorMessage="1" promptTitle="①「種類」欄はプルダウンリストから選択してください。" prompt="申請できる個人防護具の種類は、_x000a_マスク、ゴーグル、ガウン、グローブ、キャップ、フェイスシールド_x000a_です。" sqref="B13:B112" xr:uid="{00000000-0002-0000-1000-000008000000}">
      <formula1>"マスク,ゴーグル,ガウン,グローブ,キャップ,フェイスシールド"</formula1>
    </dataValidation>
  </dataValidations>
  <printOptions horizontalCentered="1"/>
  <pageMargins left="0.59055118110236227" right="0.39370078740157483" top="0.39370078740157483" bottom="0.39370078740157483" header="0.31496062992125984" footer="0.31496062992125984"/>
  <pageSetup paperSize="9" scale="64"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74"/>
  <sheetViews>
    <sheetView showGridLines="0" view="pageBreakPreview" topLeftCell="A64"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461</v>
      </c>
      <c r="C2" s="865"/>
      <c r="D2" s="866"/>
      <c r="H2" s="303" t="s">
        <v>631</v>
      </c>
      <c r="I2" s="105" t="s">
        <v>632</v>
      </c>
      <c r="J2" s="303" t="s">
        <v>63</v>
      </c>
      <c r="L2" s="105" t="str">
        <f>VLOOKUP(B2,テーブル!H37:J51,3,FALSE)</f>
        <v>様式2-4</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100" customHeight="1">
      <c r="A14" s="21"/>
      <c r="B14" s="875" t="str">
        <f>VLOOKUP(B2,テーブル!H37:I51,2,FALSE)</f>
        <v>（例）当院は高齢者人口を多く抱える地域に立地し、付近に高齢者施設が複数あることからこれまで、主として高齢患者を多く受け入れる傾向があった。受入患者には認知症等の老年性の精神症状を呈する者を少なからずおり、その行動特性からゾーニングは難しく、フロア全体をレッドゾーンとして取り扱わざるを得ず、職員は常にPPEを着用した状態で支援に従事せざるを得ない状況であった。
　一方で行動症状を伴わない患者も一定数いること及び、当院の確保病床は２つのフロアに分かれており、一方については全室個室でありかつトイレ・洗面も備わっていることから当該室を陰圧化し、行動症状が特段見られない患者の受け入れに供することによってフロア内をゾーニングし職員負担の軽減に繋がるのではと考えた。
　ついては、当該フロアの○室の内、確保病床として指定の○室分について陰圧機器を設置することで院内感染防止及び職員の安全確保を図ることとしたい。</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PbFDWVmwqOko+gMIf6vEhGJ/tTiVtE89ZAbno8SoAuGBIYm43tbf/AsjepHNzUpwMNQ56YIg8fmtRozpcigI8A==" saltValue="fBzEVfPVQnMdP7qSvWDXVg=="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47" priority="4" operator="containsText" text="×">
      <formula>NOT(ISERROR(SEARCH("×",Z1)))</formula>
    </cfRule>
  </conditionalFormatting>
  <conditionalFormatting sqref="AA1:AA4 AA9:AA21 AA29:AA1048576 AA6:AA7 AA23:AA27">
    <cfRule type="containsText" dxfId="46" priority="3" operator="containsText" text="要修正">
      <formula>NOT(ISERROR(SEARCH("要修正",AA1)))</formula>
    </cfRule>
  </conditionalFormatting>
  <conditionalFormatting sqref="Z22">
    <cfRule type="containsText" dxfId="45" priority="2" operator="containsText" text="×">
      <formula>NOT(ISERROR(SEARCH("×",Z22)))</formula>
    </cfRule>
  </conditionalFormatting>
  <conditionalFormatting sqref="AA22">
    <cfRule type="containsText" dxfId="44" priority="1" operator="containsText" text="要修正">
      <formula>NOT(ISERROR(SEARCH("要修正",AA22)))</formula>
    </cfRule>
  </conditionalFormatting>
  <dataValidations count="8">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100-000000000000}">
      <formula1>"補助対象,補助対象外"</formula1>
    </dataValidation>
    <dataValidation allowBlank="1" showInputMessage="1" showErrorMessage="1" promptTitle="金額の表示" prompt="数式が入力されているため、自動計算されます。" sqref="K30:K74 I30:I74" xr:uid="{00000000-0002-0000-1100-000001000000}"/>
    <dataValidation allowBlank="1" showInputMessage="1" showErrorMessage="1" promptTitle="添付書類番号" prompt="種類、規格、数量、単価が全て適切に入力され、右の「判定」が「◎」と表示されると自動で番号が表示されます。" sqref="L30:L74" xr:uid="{00000000-0002-0000-11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100-000003000000}"/>
    <dataValidation allowBlank="1" showInputMessage="1" showErrorMessage="1" promptTitle="規格及び数量の入力" prompt="補助対象経費を計上する際、いずれも入力してください。" sqref="E30:F74" xr:uid="{00000000-0002-0000-1100-000004000000}"/>
    <dataValidation allowBlank="1" showInputMessage="1" showErrorMessage="1" promptTitle="補助対象金額" prompt="補助対象額×（見積書金額-割引額）/見積書金額_x000a_で算出されます。" sqref="J3" xr:uid="{00000000-0002-0000-1100-000005000000}"/>
    <dataValidation allowBlank="1" showInputMessage="1" showErrorMessage="1" promptTitle="割引額がある場合は入力" prompt="割引がない場合は「0円」のままとしてください。" sqref="I3" xr:uid="{00000000-0002-0000-11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100-000007000000}">
      <formula1>"設備,備品,その他"</formula1>
    </dataValidation>
  </dataValidations>
  <pageMargins left="0.7" right="0.7" top="0.75" bottom="0.75" header="0.3" footer="0.3"/>
  <pageSetup paperSize="9" scale="53"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1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1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100-00000A000000}">
          <x14:formula1>
            <xm:f>OFFSET(テーブル!$W$48, 0, MATCH(B30,テーブル!$X$47:$Y$47,0), COUNTA(OFFSET(テーブル!$W$48,0,MATCH(B30,テーブル!$X$47:$Y$47,0),$W$30,1)),1)</xm:f>
          </x14:formula1>
          <xm:sqref>C30:C74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F74"/>
  <sheetViews>
    <sheetView showGridLines="0" view="pageBreakPreview" topLeftCell="A24"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462</v>
      </c>
      <c r="C2" s="865"/>
      <c r="D2" s="866"/>
      <c r="H2" s="303" t="s">
        <v>631</v>
      </c>
      <c r="I2" s="105" t="s">
        <v>632</v>
      </c>
      <c r="J2" s="303" t="s">
        <v>63</v>
      </c>
      <c r="L2" s="105" t="str">
        <f>VLOOKUP(B2,テーブル!H37:J51,3,FALSE)</f>
        <v>様式2-5</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60" customHeight="1">
      <c r="A14" s="21"/>
      <c r="B14" s="911"/>
      <c r="C14" s="912"/>
      <c r="D14" s="912"/>
      <c r="E14" s="912"/>
      <c r="F14" s="912"/>
      <c r="G14" s="912"/>
      <c r="H14" s="912"/>
      <c r="I14" s="912"/>
      <c r="J14" s="912"/>
      <c r="K14" s="912"/>
      <c r="L14" s="912"/>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hidden="1">
      <c r="A34" s="16">
        <v>5</v>
      </c>
      <c r="B34" s="10"/>
      <c r="C34" s="10"/>
      <c r="D34" s="10"/>
      <c r="E34" s="14"/>
      <c r="F34" s="11"/>
      <c r="G34" s="12"/>
      <c r="H34" s="25">
        <f t="shared" si="0"/>
        <v>0</v>
      </c>
      <c r="I34" s="8">
        <f t="shared" si="1"/>
        <v>0</v>
      </c>
      <c r="J34" s="13"/>
      <c r="K34" s="8">
        <f t="shared" si="2"/>
        <v>0</v>
      </c>
      <c r="L34" s="9" t="str">
        <f>IF(Z34="◎",COUNTIF($Z$30:Z34,"◎"),"")</f>
        <v/>
      </c>
      <c r="W34" s="106" t="str">
        <f>IF(B34="既設病床",はじめに入力してください!$K$12,IF(B34="新設病床",はじめに入力してください!$K$13,IF(B34="共通使用",1,"")))</f>
        <v/>
      </c>
      <c r="Y34" s="16">
        <v>5</v>
      </c>
      <c r="Z34" s="105" t="str">
        <f t="shared" si="3"/>
        <v>○</v>
      </c>
      <c r="AA34" s="106" t="str">
        <f t="shared" si="4"/>
        <v>整備しない場合は入力不要です。</v>
      </c>
    </row>
    <row r="35" spans="1:27" hidden="1">
      <c r="A35" s="16">
        <v>6</v>
      </c>
      <c r="B35" s="10"/>
      <c r="C35" s="10"/>
      <c r="D35" s="10"/>
      <c r="E35" s="14"/>
      <c r="F35" s="11"/>
      <c r="G35" s="12"/>
      <c r="H35" s="25">
        <f t="shared" si="0"/>
        <v>0</v>
      </c>
      <c r="I35" s="8">
        <f t="shared" si="1"/>
        <v>0</v>
      </c>
      <c r="J35" s="13"/>
      <c r="K35" s="8">
        <f t="shared" si="2"/>
        <v>0</v>
      </c>
      <c r="L35" s="9" t="str">
        <f>IF(Z35="◎",COUNTIF($Z$30:Z35,"◎"),"")</f>
        <v/>
      </c>
      <c r="W35" s="106" t="str">
        <f>IF(B35="既設病床",はじめに入力してください!$K$12,IF(B35="新設病床",はじめに入力してください!$K$13,IF(B35="共通使用",1,"")))</f>
        <v/>
      </c>
      <c r="Y35" s="16">
        <v>6</v>
      </c>
      <c r="Z35" s="105" t="str">
        <f t="shared" si="3"/>
        <v>○</v>
      </c>
      <c r="AA35" s="106" t="str">
        <f t="shared" si="4"/>
        <v>整備しない場合は入力不要です。</v>
      </c>
    </row>
    <row r="36" spans="1:27" hidden="1">
      <c r="A36" s="16">
        <v>7</v>
      </c>
      <c r="B36" s="10"/>
      <c r="C36" s="10"/>
      <c r="D36" s="10"/>
      <c r="E36" s="14"/>
      <c r="F36" s="11"/>
      <c r="G36" s="12"/>
      <c r="H36" s="25">
        <f t="shared" si="0"/>
        <v>0</v>
      </c>
      <c r="I36" s="8">
        <f t="shared" si="1"/>
        <v>0</v>
      </c>
      <c r="J36" s="13"/>
      <c r="K36" s="8">
        <f t="shared" si="2"/>
        <v>0</v>
      </c>
      <c r="L36" s="9" t="str">
        <f>IF(Z36="◎",COUNTIF($Z$30:Z36,"◎"),"")</f>
        <v/>
      </c>
      <c r="W36" s="106" t="str">
        <f>IF(B36="既設病床",はじめに入力してください!$K$12,IF(B36="新設病床",はじめに入力してください!$K$13,IF(B36="共通使用",1,"")))</f>
        <v/>
      </c>
      <c r="Y36" s="16">
        <v>7</v>
      </c>
      <c r="Z36" s="105" t="str">
        <f t="shared" si="3"/>
        <v>○</v>
      </c>
      <c r="AA36" s="106" t="str">
        <f t="shared" si="4"/>
        <v>整備しない場合は入力不要です。</v>
      </c>
    </row>
    <row r="37" spans="1:27" hidden="1">
      <c r="A37" s="16">
        <v>8</v>
      </c>
      <c r="B37" s="10"/>
      <c r="C37" s="10"/>
      <c r="D37" s="10"/>
      <c r="E37" s="14"/>
      <c r="F37" s="11"/>
      <c r="G37" s="12"/>
      <c r="H37" s="25">
        <f t="shared" si="0"/>
        <v>0</v>
      </c>
      <c r="I37" s="8">
        <f t="shared" si="1"/>
        <v>0</v>
      </c>
      <c r="J37" s="13"/>
      <c r="K37" s="8">
        <f t="shared" si="2"/>
        <v>0</v>
      </c>
      <c r="L37" s="9" t="str">
        <f>IF(Z37="◎",COUNTIF($Z$30:Z37,"◎"),"")</f>
        <v/>
      </c>
      <c r="W37" s="106" t="str">
        <f>IF(B37="既設病床",はじめに入力してください!$K$12,IF(B37="新設病床",はじめに入力してください!$K$13,IF(B37="共通使用",1,"")))</f>
        <v/>
      </c>
      <c r="Y37" s="16">
        <v>8</v>
      </c>
      <c r="Z37" s="105" t="str">
        <f t="shared" si="3"/>
        <v>○</v>
      </c>
      <c r="AA37" s="106" t="str">
        <f t="shared" si="4"/>
        <v>整備しない場合は入力不要です。</v>
      </c>
    </row>
    <row r="38" spans="1:27" hidden="1">
      <c r="A38" s="16">
        <v>9</v>
      </c>
      <c r="B38" s="10"/>
      <c r="C38" s="10"/>
      <c r="D38" s="10"/>
      <c r="E38" s="14"/>
      <c r="F38" s="11"/>
      <c r="G38" s="12"/>
      <c r="H38" s="25">
        <f t="shared" si="0"/>
        <v>0</v>
      </c>
      <c r="I38" s="8">
        <f t="shared" si="1"/>
        <v>0</v>
      </c>
      <c r="J38" s="13"/>
      <c r="K38" s="8">
        <f t="shared" si="2"/>
        <v>0</v>
      </c>
      <c r="L38" s="9" t="str">
        <f>IF(Z38="◎",COUNTIF($Z$30:Z38,"◎"),"")</f>
        <v/>
      </c>
      <c r="W38" s="106" t="str">
        <f>IF(B38="既設病床",はじめに入力してください!$K$12,IF(B38="新設病床",はじめに入力してください!$K$13,IF(B38="共通使用",1,"")))</f>
        <v/>
      </c>
      <c r="Y38" s="16">
        <v>9</v>
      </c>
      <c r="Z38" s="105" t="str">
        <f t="shared" si="3"/>
        <v>○</v>
      </c>
      <c r="AA38" s="106" t="str">
        <f t="shared" si="4"/>
        <v>整備しない場合は入力不要です。</v>
      </c>
    </row>
    <row r="39" spans="1:27" hidden="1">
      <c r="A39" s="16">
        <v>10</v>
      </c>
      <c r="B39" s="10"/>
      <c r="C39" s="10"/>
      <c r="D39" s="10"/>
      <c r="E39" s="14"/>
      <c r="F39" s="11"/>
      <c r="G39" s="12"/>
      <c r="H39" s="25">
        <f t="shared" si="0"/>
        <v>0</v>
      </c>
      <c r="I39" s="8">
        <f t="shared" si="1"/>
        <v>0</v>
      </c>
      <c r="J39" s="13"/>
      <c r="K39" s="8">
        <f t="shared" si="2"/>
        <v>0</v>
      </c>
      <c r="L39" s="9" t="str">
        <f>IF(Z39="◎",COUNTIF($Z$30:Z39,"◎"),"")</f>
        <v/>
      </c>
      <c r="W39" s="106" t="str">
        <f>IF(B39="既設病床",はじめに入力してください!$K$12,IF(B39="新設病床",はじめに入力してください!$K$13,IF(B39="共通使用",1,"")))</f>
        <v/>
      </c>
      <c r="Y39" s="16">
        <v>10</v>
      </c>
      <c r="Z39" s="105" t="str">
        <f t="shared" si="3"/>
        <v>○</v>
      </c>
      <c r="AA39" s="106" t="str">
        <f t="shared" si="4"/>
        <v>整備しない場合は入力不要です。</v>
      </c>
    </row>
    <row r="40" spans="1:27" hidden="1">
      <c r="A40" s="16">
        <v>11</v>
      </c>
      <c r="B40" s="10"/>
      <c r="C40" s="10"/>
      <c r="D40" s="10"/>
      <c r="E40" s="14"/>
      <c r="F40" s="11"/>
      <c r="G40" s="12"/>
      <c r="H40" s="25">
        <f t="shared" si="0"/>
        <v>0</v>
      </c>
      <c r="I40" s="8">
        <f t="shared" si="1"/>
        <v>0</v>
      </c>
      <c r="J40" s="13"/>
      <c r="K40" s="8">
        <f t="shared" si="2"/>
        <v>0</v>
      </c>
      <c r="L40" s="9" t="str">
        <f>IF(Z40="◎",COUNTIF($Z$30:Z40,"◎"),"")</f>
        <v/>
      </c>
      <c r="W40" s="106" t="str">
        <f>IF(B40="既設病床",はじめに入力してください!$K$12,IF(B40="新設病床",はじめに入力してください!$K$13,IF(B40="共通使用",1,"")))</f>
        <v/>
      </c>
      <c r="Y40" s="16">
        <v>11</v>
      </c>
      <c r="Z40" s="105" t="str">
        <f t="shared" si="3"/>
        <v>○</v>
      </c>
      <c r="AA40" s="106" t="str">
        <f t="shared" si="4"/>
        <v>整備しない場合は入力不要です。</v>
      </c>
    </row>
    <row r="41" spans="1:27" hidden="1">
      <c r="A41" s="16">
        <v>12</v>
      </c>
      <c r="B41" s="10"/>
      <c r="C41" s="10"/>
      <c r="D41" s="10"/>
      <c r="E41" s="14"/>
      <c r="F41" s="11"/>
      <c r="G41" s="12"/>
      <c r="H41" s="25">
        <f t="shared" si="0"/>
        <v>0</v>
      </c>
      <c r="I41" s="8">
        <f t="shared" si="1"/>
        <v>0</v>
      </c>
      <c r="J41" s="13"/>
      <c r="K41" s="8">
        <f t="shared" si="2"/>
        <v>0</v>
      </c>
      <c r="L41" s="9" t="str">
        <f>IF(Z41="◎",COUNTIF($Z$30:Z41,"◎"),"")</f>
        <v/>
      </c>
      <c r="W41" s="106" t="str">
        <f>IF(B41="既設病床",はじめに入力してください!$K$12,IF(B41="新設病床",はじめに入力してください!$K$13,IF(B41="共通使用",1,"")))</f>
        <v/>
      </c>
      <c r="Y41" s="16">
        <v>12</v>
      </c>
      <c r="Z41" s="105" t="str">
        <f t="shared" si="3"/>
        <v>○</v>
      </c>
      <c r="AA41" s="106" t="str">
        <f t="shared" si="4"/>
        <v>整備しない場合は入力不要です。</v>
      </c>
    </row>
    <row r="42" spans="1:27" hidden="1">
      <c r="A42" s="16">
        <v>13</v>
      </c>
      <c r="B42" s="10"/>
      <c r="C42" s="10"/>
      <c r="D42" s="10"/>
      <c r="E42" s="14"/>
      <c r="F42" s="11"/>
      <c r="G42" s="12"/>
      <c r="H42" s="25">
        <f t="shared" si="0"/>
        <v>0</v>
      </c>
      <c r="I42" s="8">
        <f t="shared" si="1"/>
        <v>0</v>
      </c>
      <c r="J42" s="13"/>
      <c r="K42" s="8">
        <f t="shared" si="2"/>
        <v>0</v>
      </c>
      <c r="L42" s="9" t="str">
        <f>IF(Z42="◎",COUNTIF($Z$30:Z42,"◎"),"")</f>
        <v/>
      </c>
      <c r="W42" s="106" t="str">
        <f>IF(B42="既設病床",はじめに入力してください!$K$12,IF(B42="新設病床",はじめに入力してください!$K$13,IF(B42="共通使用",1,"")))</f>
        <v/>
      </c>
      <c r="Y42" s="16">
        <v>13</v>
      </c>
      <c r="Z42" s="105" t="str">
        <f t="shared" si="3"/>
        <v>○</v>
      </c>
      <c r="AA42" s="106" t="str">
        <f t="shared" si="4"/>
        <v>整備しない場合は入力不要です。</v>
      </c>
    </row>
    <row r="43" spans="1:27" hidden="1">
      <c r="A43" s="16">
        <v>14</v>
      </c>
      <c r="B43" s="10"/>
      <c r="C43" s="10"/>
      <c r="D43" s="10"/>
      <c r="E43" s="14"/>
      <c r="F43" s="11"/>
      <c r="G43" s="12"/>
      <c r="H43" s="25">
        <f t="shared" si="0"/>
        <v>0</v>
      </c>
      <c r="I43" s="8">
        <f t="shared" si="1"/>
        <v>0</v>
      </c>
      <c r="J43" s="13"/>
      <c r="K43" s="8">
        <f t="shared" si="2"/>
        <v>0</v>
      </c>
      <c r="L43" s="9" t="str">
        <f>IF(Z43="◎",COUNTIF($Z$30:Z43,"◎"),"")</f>
        <v/>
      </c>
      <c r="W43" s="106" t="str">
        <f>IF(B43="既設病床",はじめに入力してください!$K$12,IF(B43="新設病床",はじめに入力してください!$K$13,IF(B43="共通使用",1,"")))</f>
        <v/>
      </c>
      <c r="Y43" s="16">
        <v>14</v>
      </c>
      <c r="Z43" s="105" t="str">
        <f t="shared" si="3"/>
        <v>○</v>
      </c>
      <c r="AA43" s="106" t="str">
        <f t="shared" si="4"/>
        <v>整備しない場合は入力不要です。</v>
      </c>
    </row>
    <row r="44" spans="1:27" hidden="1">
      <c r="A44" s="16">
        <v>15</v>
      </c>
      <c r="B44" s="10"/>
      <c r="C44" s="10"/>
      <c r="D44" s="10"/>
      <c r="E44" s="14"/>
      <c r="F44" s="11"/>
      <c r="G44" s="12"/>
      <c r="H44" s="25">
        <f t="shared" si="0"/>
        <v>0</v>
      </c>
      <c r="I44" s="8">
        <f t="shared" si="1"/>
        <v>0</v>
      </c>
      <c r="J44" s="13"/>
      <c r="K44" s="8">
        <f t="shared" si="2"/>
        <v>0</v>
      </c>
      <c r="L44" s="9" t="str">
        <f>IF(Z44="◎",COUNTIF($Z$30:Z44,"◎"),"")</f>
        <v/>
      </c>
      <c r="W44" s="106" t="str">
        <f>IF(B44="既設病床",はじめに入力してください!$K$12,IF(B44="新設病床",はじめに入力してください!$K$13,IF(B44="共通使用",1,"")))</f>
        <v/>
      </c>
      <c r="Y44" s="16">
        <v>15</v>
      </c>
      <c r="Z44" s="105" t="str">
        <f t="shared" si="3"/>
        <v>○</v>
      </c>
      <c r="AA44" s="106" t="str">
        <f t="shared" si="4"/>
        <v>整備しない場合は入力不要です。</v>
      </c>
    </row>
    <row r="45" spans="1:27" hidden="1">
      <c r="A45" s="16">
        <v>16</v>
      </c>
      <c r="B45" s="10"/>
      <c r="C45" s="10"/>
      <c r="D45" s="10"/>
      <c r="E45" s="14"/>
      <c r="F45" s="11"/>
      <c r="G45" s="12"/>
      <c r="H45" s="25">
        <f t="shared" si="0"/>
        <v>0</v>
      </c>
      <c r="I45" s="8">
        <f t="shared" si="1"/>
        <v>0</v>
      </c>
      <c r="J45" s="13"/>
      <c r="K45" s="8">
        <f t="shared" si="2"/>
        <v>0</v>
      </c>
      <c r="L45" s="9" t="str">
        <f>IF(Z45="◎",COUNTIF($Z$30:Z45,"◎"),"")</f>
        <v/>
      </c>
      <c r="W45" s="106" t="str">
        <f>IF(B45="既設病床",はじめに入力してください!$K$12,IF(B45="新設病床",はじめに入力してください!$K$13,IF(B45="共通使用",1,"")))</f>
        <v/>
      </c>
      <c r="Y45" s="16">
        <v>16</v>
      </c>
      <c r="Z45" s="105" t="str">
        <f t="shared" si="3"/>
        <v>○</v>
      </c>
      <c r="AA45" s="106" t="str">
        <f t="shared" si="4"/>
        <v>整備しない場合は入力不要です。</v>
      </c>
    </row>
    <row r="46" spans="1:27" hidden="1">
      <c r="A46" s="16">
        <v>17</v>
      </c>
      <c r="B46" s="10"/>
      <c r="C46" s="10"/>
      <c r="D46" s="10"/>
      <c r="E46" s="14"/>
      <c r="F46" s="11"/>
      <c r="G46" s="12"/>
      <c r="H46" s="25">
        <f t="shared" si="0"/>
        <v>0</v>
      </c>
      <c r="I46" s="8">
        <f t="shared" si="1"/>
        <v>0</v>
      </c>
      <c r="J46" s="13"/>
      <c r="K46" s="8">
        <f t="shared" si="2"/>
        <v>0</v>
      </c>
      <c r="L46" s="9" t="str">
        <f>IF(Z46="◎",COUNTIF($Z$30:Z46,"◎"),"")</f>
        <v/>
      </c>
      <c r="W46" s="106" t="str">
        <f>IF(B46="既設病床",はじめに入力してください!$K$12,IF(B46="新設病床",はじめに入力してください!$K$13,IF(B46="共通使用",1,"")))</f>
        <v/>
      </c>
      <c r="Y46" s="16">
        <v>17</v>
      </c>
      <c r="Z46" s="105" t="str">
        <f t="shared" si="3"/>
        <v>○</v>
      </c>
      <c r="AA46" s="106" t="str">
        <f t="shared" si="4"/>
        <v>整備しない場合は入力不要です。</v>
      </c>
    </row>
    <row r="47" spans="1:27" hidden="1">
      <c r="A47" s="16">
        <v>18</v>
      </c>
      <c r="B47" s="10"/>
      <c r="C47" s="10"/>
      <c r="D47" s="10"/>
      <c r="E47" s="14"/>
      <c r="F47" s="11"/>
      <c r="G47" s="12"/>
      <c r="H47" s="25">
        <f t="shared" si="0"/>
        <v>0</v>
      </c>
      <c r="I47" s="8">
        <f t="shared" si="1"/>
        <v>0</v>
      </c>
      <c r="J47" s="13"/>
      <c r="K47" s="8">
        <f t="shared" si="2"/>
        <v>0</v>
      </c>
      <c r="L47" s="9" t="str">
        <f>IF(Z47="◎",COUNTIF($Z$30:Z47,"◎"),"")</f>
        <v/>
      </c>
      <c r="W47" s="106" t="str">
        <f>IF(B47="既設病床",はじめに入力してください!$K$12,IF(B47="新設病床",はじめに入力してください!$K$13,IF(B47="共通使用",1,"")))</f>
        <v/>
      </c>
      <c r="Y47" s="16">
        <v>18</v>
      </c>
      <c r="Z47" s="105" t="str">
        <f t="shared" si="3"/>
        <v>○</v>
      </c>
      <c r="AA47" s="106" t="str">
        <f t="shared" si="4"/>
        <v>整備しない場合は入力不要です。</v>
      </c>
    </row>
    <row r="48" spans="1:27" hidden="1">
      <c r="A48" s="16">
        <v>19</v>
      </c>
      <c r="B48" s="10"/>
      <c r="C48" s="10"/>
      <c r="D48" s="10"/>
      <c r="E48" s="14"/>
      <c r="F48" s="11"/>
      <c r="G48" s="12"/>
      <c r="H48" s="25">
        <f t="shared" si="0"/>
        <v>0</v>
      </c>
      <c r="I48" s="8">
        <f t="shared" si="1"/>
        <v>0</v>
      </c>
      <c r="J48" s="13"/>
      <c r="K48" s="8">
        <f t="shared" si="2"/>
        <v>0</v>
      </c>
      <c r="L48" s="9" t="str">
        <f>IF(Z48="◎",COUNTIF($Z$30:Z48,"◎"),"")</f>
        <v/>
      </c>
      <c r="W48" s="106" t="str">
        <f>IF(B48="既設病床",はじめに入力してください!$K$12,IF(B48="新設病床",はじめに入力してください!$K$13,IF(B48="共通使用",1,"")))</f>
        <v/>
      </c>
      <c r="Y48" s="16">
        <v>19</v>
      </c>
      <c r="Z48" s="105" t="str">
        <f t="shared" si="3"/>
        <v>○</v>
      </c>
      <c r="AA48" s="106" t="str">
        <f t="shared" si="4"/>
        <v>整備しない場合は入力不要です。</v>
      </c>
    </row>
    <row r="49" spans="1:27" hidden="1">
      <c r="A49" s="16">
        <v>20</v>
      </c>
      <c r="B49" s="10"/>
      <c r="C49" s="10"/>
      <c r="D49" s="10"/>
      <c r="E49" s="14"/>
      <c r="F49" s="11"/>
      <c r="G49" s="12"/>
      <c r="H49" s="25">
        <f t="shared" si="0"/>
        <v>0</v>
      </c>
      <c r="I49" s="8">
        <f t="shared" si="1"/>
        <v>0</v>
      </c>
      <c r="J49" s="13"/>
      <c r="K49" s="8">
        <f t="shared" si="2"/>
        <v>0</v>
      </c>
      <c r="L49" s="9" t="str">
        <f>IF(Z49="◎",COUNTIF($Z$30:Z49,"◎"),"")</f>
        <v/>
      </c>
      <c r="W49" s="106" t="str">
        <f>IF(B49="既設病床",はじめに入力してください!$K$12,IF(B49="新設病床",はじめに入力してください!$K$13,IF(B49="共通使用",1,"")))</f>
        <v/>
      </c>
      <c r="Y49" s="16">
        <v>20</v>
      </c>
      <c r="Z49" s="105" t="str">
        <f t="shared" si="3"/>
        <v>○</v>
      </c>
      <c r="AA49" s="106" t="str">
        <f t="shared" si="4"/>
        <v>整備しない場合は入力不要です。</v>
      </c>
    </row>
    <row r="50" spans="1:27" hidden="1">
      <c r="A50" s="16">
        <v>21</v>
      </c>
      <c r="B50" s="10"/>
      <c r="C50" s="10"/>
      <c r="D50" s="10"/>
      <c r="E50" s="14"/>
      <c r="F50" s="11"/>
      <c r="G50" s="12"/>
      <c r="H50" s="25">
        <f t="shared" si="0"/>
        <v>0</v>
      </c>
      <c r="I50" s="8">
        <f t="shared" si="1"/>
        <v>0</v>
      </c>
      <c r="J50" s="13"/>
      <c r="K50" s="8">
        <f t="shared" si="2"/>
        <v>0</v>
      </c>
      <c r="L50" s="9" t="str">
        <f>IF(Z50="◎",COUNTIF($Z$30:Z50,"◎"),"")</f>
        <v/>
      </c>
      <c r="W50" s="106" t="str">
        <f>IF(B50="既設病床",はじめに入力してください!$K$12,IF(B50="新設病床",はじめに入力してください!$K$13,IF(B50="共通使用",1,"")))</f>
        <v/>
      </c>
      <c r="Y50" s="16">
        <v>21</v>
      </c>
      <c r="Z50" s="105" t="str">
        <f t="shared" si="3"/>
        <v>○</v>
      </c>
      <c r="AA50" s="106" t="str">
        <f t="shared" si="4"/>
        <v>整備しない場合は入力不要です。</v>
      </c>
    </row>
    <row r="51" spans="1:27" hidden="1">
      <c r="A51" s="16">
        <v>22</v>
      </c>
      <c r="B51" s="10"/>
      <c r="C51" s="10"/>
      <c r="D51" s="10"/>
      <c r="E51" s="14"/>
      <c r="F51" s="11"/>
      <c r="G51" s="12"/>
      <c r="H51" s="25">
        <f t="shared" si="0"/>
        <v>0</v>
      </c>
      <c r="I51" s="8">
        <f t="shared" si="1"/>
        <v>0</v>
      </c>
      <c r="J51" s="13"/>
      <c r="K51" s="8">
        <f t="shared" si="2"/>
        <v>0</v>
      </c>
      <c r="L51" s="9" t="str">
        <f>IF(Z51="◎",COUNTIF($Z$30:Z51,"◎"),"")</f>
        <v/>
      </c>
      <c r="W51" s="106" t="str">
        <f>IF(B51="既設病床",はじめに入力してください!$K$12,IF(B51="新設病床",はじめに入力してください!$K$13,IF(B51="共通使用",1,"")))</f>
        <v/>
      </c>
      <c r="Y51" s="16">
        <v>22</v>
      </c>
      <c r="Z51" s="105" t="str">
        <f t="shared" si="3"/>
        <v>○</v>
      </c>
      <c r="AA51" s="106" t="str">
        <f t="shared" si="4"/>
        <v>整備しない場合は入力不要です。</v>
      </c>
    </row>
    <row r="52" spans="1:27" hidden="1">
      <c r="A52" s="16">
        <v>23</v>
      </c>
      <c r="B52" s="10"/>
      <c r="C52" s="10"/>
      <c r="D52" s="10"/>
      <c r="E52" s="14"/>
      <c r="F52" s="11"/>
      <c r="G52" s="12"/>
      <c r="H52" s="25">
        <f t="shared" si="0"/>
        <v>0</v>
      </c>
      <c r="I52" s="8">
        <f t="shared" si="1"/>
        <v>0</v>
      </c>
      <c r="J52" s="13"/>
      <c r="K52" s="8">
        <f t="shared" si="2"/>
        <v>0</v>
      </c>
      <c r="L52" s="9" t="str">
        <f>IF(Z52="◎",COUNTIF($Z$30:Z52,"◎"),"")</f>
        <v/>
      </c>
      <c r="W52" s="106" t="str">
        <f>IF(B52="既設病床",はじめに入力してください!$K$12,IF(B52="新設病床",はじめに入力してください!$K$13,IF(B52="共通使用",1,"")))</f>
        <v/>
      </c>
      <c r="Y52" s="16">
        <v>23</v>
      </c>
      <c r="Z52" s="105" t="str">
        <f t="shared" si="3"/>
        <v>○</v>
      </c>
      <c r="AA52" s="106" t="str">
        <f t="shared" si="4"/>
        <v>整備しない場合は入力不要です。</v>
      </c>
    </row>
    <row r="53" spans="1:27" hidden="1">
      <c r="A53" s="16">
        <v>24</v>
      </c>
      <c r="B53" s="10"/>
      <c r="C53" s="10"/>
      <c r="D53" s="10"/>
      <c r="E53" s="14"/>
      <c r="F53" s="11"/>
      <c r="G53" s="12"/>
      <c r="H53" s="25">
        <f t="shared" si="0"/>
        <v>0</v>
      </c>
      <c r="I53" s="8">
        <f t="shared" si="1"/>
        <v>0</v>
      </c>
      <c r="J53" s="13"/>
      <c r="K53" s="8">
        <f t="shared" si="2"/>
        <v>0</v>
      </c>
      <c r="L53" s="9" t="str">
        <f>IF(Z53="◎",COUNTIF($Z$30:Z53,"◎"),"")</f>
        <v/>
      </c>
      <c r="W53" s="106" t="str">
        <f>IF(B53="既設病床",はじめに入力してください!$K$12,IF(B53="新設病床",はじめに入力してください!$K$13,IF(B53="共通使用",1,"")))</f>
        <v/>
      </c>
      <c r="Y53" s="16">
        <v>24</v>
      </c>
      <c r="Z53" s="105" t="str">
        <f t="shared" si="3"/>
        <v>○</v>
      </c>
      <c r="AA53" s="106" t="str">
        <f t="shared" si="4"/>
        <v>整備しない場合は入力不要です。</v>
      </c>
    </row>
    <row r="54" spans="1:27" hidden="1">
      <c r="A54" s="16">
        <v>25</v>
      </c>
      <c r="B54" s="10"/>
      <c r="C54" s="10"/>
      <c r="D54" s="10"/>
      <c r="E54" s="14"/>
      <c r="F54" s="11"/>
      <c r="G54" s="12"/>
      <c r="H54" s="25">
        <f t="shared" si="0"/>
        <v>0</v>
      </c>
      <c r="I54" s="8">
        <f t="shared" si="1"/>
        <v>0</v>
      </c>
      <c r="J54" s="13"/>
      <c r="K54" s="8">
        <f t="shared" si="2"/>
        <v>0</v>
      </c>
      <c r="L54" s="9" t="str">
        <f>IF(Z54="◎",COUNTIF($Z$30:Z54,"◎"),"")</f>
        <v/>
      </c>
      <c r="W54" s="106" t="str">
        <f>IF(B54="既設病床",はじめに入力してください!$K$12,IF(B54="新設病床",はじめに入力してください!$K$13,IF(B54="共通使用",1,"")))</f>
        <v/>
      </c>
      <c r="Y54" s="16">
        <v>25</v>
      </c>
      <c r="Z54" s="105" t="str">
        <f t="shared" si="3"/>
        <v>○</v>
      </c>
      <c r="AA54" s="106" t="str">
        <f t="shared" si="4"/>
        <v>整備しない場合は入力不要です。</v>
      </c>
    </row>
    <row r="55" spans="1:27" hidden="1">
      <c r="A55" s="16">
        <v>26</v>
      </c>
      <c r="B55" s="10"/>
      <c r="C55" s="10"/>
      <c r="D55" s="10"/>
      <c r="E55" s="14"/>
      <c r="F55" s="11"/>
      <c r="G55" s="12"/>
      <c r="H55" s="25">
        <f t="shared" si="0"/>
        <v>0</v>
      </c>
      <c r="I55" s="8">
        <f t="shared" si="1"/>
        <v>0</v>
      </c>
      <c r="J55" s="13"/>
      <c r="K55" s="8">
        <f t="shared" si="2"/>
        <v>0</v>
      </c>
      <c r="L55" s="9" t="str">
        <f>IF(Z55="◎",COUNTIF($Z$30:Z55,"◎"),"")</f>
        <v/>
      </c>
      <c r="W55" s="106" t="str">
        <f>IF(B55="既設病床",はじめに入力してください!$K$12,IF(B55="新設病床",はじめに入力してください!$K$13,IF(B55="共通使用",1,"")))</f>
        <v/>
      </c>
      <c r="Y55" s="16">
        <v>26</v>
      </c>
      <c r="Z55" s="105" t="str">
        <f t="shared" si="3"/>
        <v>○</v>
      </c>
      <c r="AA55" s="106" t="str">
        <f t="shared" si="4"/>
        <v>整備しない場合は入力不要です。</v>
      </c>
    </row>
    <row r="56" spans="1:27" hidden="1">
      <c r="A56" s="16">
        <v>27</v>
      </c>
      <c r="B56" s="10"/>
      <c r="C56" s="10"/>
      <c r="D56" s="10"/>
      <c r="E56" s="14"/>
      <c r="F56" s="11"/>
      <c r="G56" s="12"/>
      <c r="H56" s="25">
        <f t="shared" si="0"/>
        <v>0</v>
      </c>
      <c r="I56" s="8">
        <f t="shared" si="1"/>
        <v>0</v>
      </c>
      <c r="J56" s="13"/>
      <c r="K56" s="8">
        <f t="shared" si="2"/>
        <v>0</v>
      </c>
      <c r="L56" s="9" t="str">
        <f>IF(Z56="◎",COUNTIF($Z$30:Z56,"◎"),"")</f>
        <v/>
      </c>
      <c r="W56" s="106" t="str">
        <f>IF(B56="既設病床",はじめに入力してください!$K$12,IF(B56="新設病床",はじめに入力してください!$K$13,IF(B56="共通使用",1,"")))</f>
        <v/>
      </c>
      <c r="Y56" s="16">
        <v>27</v>
      </c>
      <c r="Z56" s="105" t="str">
        <f t="shared" si="3"/>
        <v>○</v>
      </c>
      <c r="AA56" s="106" t="str">
        <f t="shared" si="4"/>
        <v>整備しない場合は入力不要です。</v>
      </c>
    </row>
    <row r="57" spans="1:27" hidden="1">
      <c r="A57" s="16">
        <v>28</v>
      </c>
      <c r="B57" s="10"/>
      <c r="C57" s="10"/>
      <c r="D57" s="10"/>
      <c r="E57" s="14"/>
      <c r="F57" s="11"/>
      <c r="G57" s="12"/>
      <c r="H57" s="25">
        <f t="shared" si="0"/>
        <v>0</v>
      </c>
      <c r="I57" s="8">
        <f t="shared" si="1"/>
        <v>0</v>
      </c>
      <c r="J57" s="13"/>
      <c r="K57" s="8">
        <f t="shared" si="2"/>
        <v>0</v>
      </c>
      <c r="L57" s="9" t="str">
        <f>IF(Z57="◎",COUNTIF($Z$30:Z57,"◎"),"")</f>
        <v/>
      </c>
      <c r="W57" s="106" t="str">
        <f>IF(B57="既設病床",はじめに入力してください!$K$12,IF(B57="新設病床",はじめに入力してください!$K$13,IF(B57="共通使用",1,"")))</f>
        <v/>
      </c>
      <c r="Y57" s="16">
        <v>28</v>
      </c>
      <c r="Z57" s="105" t="str">
        <f t="shared" si="3"/>
        <v>○</v>
      </c>
      <c r="AA57" s="106" t="str">
        <f t="shared" si="4"/>
        <v>整備しない場合は入力不要です。</v>
      </c>
    </row>
    <row r="58" spans="1:27" hidden="1">
      <c r="A58" s="16">
        <v>29</v>
      </c>
      <c r="B58" s="10"/>
      <c r="C58" s="10"/>
      <c r="D58" s="10"/>
      <c r="E58" s="14"/>
      <c r="F58" s="11"/>
      <c r="G58" s="12"/>
      <c r="H58" s="25">
        <f t="shared" si="0"/>
        <v>0</v>
      </c>
      <c r="I58" s="8">
        <f t="shared" si="1"/>
        <v>0</v>
      </c>
      <c r="J58" s="13"/>
      <c r="K58" s="8">
        <f t="shared" si="2"/>
        <v>0</v>
      </c>
      <c r="L58" s="9" t="str">
        <f>IF(Z58="◎",COUNTIF($Z$30:Z58,"◎"),"")</f>
        <v/>
      </c>
      <c r="W58" s="106" t="str">
        <f>IF(B58="既設病床",はじめに入力してください!$K$12,IF(B58="新設病床",はじめに入力してください!$K$13,IF(B58="共通使用",1,"")))</f>
        <v/>
      </c>
      <c r="Y58" s="16">
        <v>29</v>
      </c>
      <c r="Z58" s="105" t="str">
        <f t="shared" si="3"/>
        <v>○</v>
      </c>
      <c r="AA58" s="106" t="str">
        <f t="shared" si="4"/>
        <v>整備しない場合は入力不要です。</v>
      </c>
    </row>
    <row r="59" spans="1:27" hidden="1">
      <c r="A59" s="16">
        <v>30</v>
      </c>
      <c r="B59" s="10"/>
      <c r="C59" s="10"/>
      <c r="D59" s="10"/>
      <c r="E59" s="14"/>
      <c r="F59" s="11"/>
      <c r="G59" s="12"/>
      <c r="H59" s="25">
        <f t="shared" si="0"/>
        <v>0</v>
      </c>
      <c r="I59" s="8">
        <f t="shared" si="1"/>
        <v>0</v>
      </c>
      <c r="J59" s="13"/>
      <c r="K59" s="8">
        <f t="shared" si="2"/>
        <v>0</v>
      </c>
      <c r="L59" s="9" t="str">
        <f>IF(Z59="◎",COUNTIF($Z$30:Z59,"◎"),"")</f>
        <v/>
      </c>
      <c r="W59" s="106" t="str">
        <f>IF(B59="既設病床",はじめに入力してください!$K$12,IF(B59="新設病床",はじめに入力してください!$K$13,IF(B59="共通使用",1,"")))</f>
        <v/>
      </c>
      <c r="Y59" s="16">
        <v>30</v>
      </c>
      <c r="Z59" s="105" t="str">
        <f t="shared" si="3"/>
        <v>○</v>
      </c>
      <c r="AA59" s="106" t="str">
        <f t="shared" si="4"/>
        <v>整備しない場合は入力不要です。</v>
      </c>
    </row>
    <row r="60" spans="1:27" hidden="1">
      <c r="A60" s="16">
        <v>31</v>
      </c>
      <c r="B60" s="10"/>
      <c r="C60" s="10"/>
      <c r="D60" s="10"/>
      <c r="E60" s="14"/>
      <c r="F60" s="11"/>
      <c r="G60" s="12"/>
      <c r="H60" s="25">
        <f t="shared" si="0"/>
        <v>0</v>
      </c>
      <c r="I60" s="8">
        <f t="shared" si="1"/>
        <v>0</v>
      </c>
      <c r="J60" s="13"/>
      <c r="K60" s="8">
        <f t="shared" si="2"/>
        <v>0</v>
      </c>
      <c r="L60" s="9" t="str">
        <f>IF(Z60="◎",COUNTIF($Z$30:Z60,"◎"),"")</f>
        <v/>
      </c>
      <c r="W60" s="106" t="str">
        <f>IF(B60="既設病床",はじめに入力してください!$K$12,IF(B60="新設病床",はじめに入力してください!$K$13,IF(B60="共通使用",1,"")))</f>
        <v/>
      </c>
      <c r="Y60" s="16">
        <v>31</v>
      </c>
      <c r="Z60" s="105" t="str">
        <f t="shared" si="3"/>
        <v>○</v>
      </c>
      <c r="AA60" s="106" t="str">
        <f t="shared" si="4"/>
        <v>整備しない場合は入力不要です。</v>
      </c>
    </row>
    <row r="61" spans="1:27" hidden="1">
      <c r="A61" s="16">
        <v>32</v>
      </c>
      <c r="B61" s="10"/>
      <c r="C61" s="10"/>
      <c r="D61" s="10"/>
      <c r="E61" s="14"/>
      <c r="F61" s="11"/>
      <c r="G61" s="12"/>
      <c r="H61" s="25">
        <f t="shared" si="0"/>
        <v>0</v>
      </c>
      <c r="I61" s="8">
        <f t="shared" si="1"/>
        <v>0</v>
      </c>
      <c r="J61" s="13"/>
      <c r="K61" s="8">
        <f t="shared" si="2"/>
        <v>0</v>
      </c>
      <c r="L61" s="9" t="str">
        <f>IF(Z61="◎",COUNTIF($Z$30:Z61,"◎"),"")</f>
        <v/>
      </c>
      <c r="W61" s="106" t="str">
        <f>IF(B61="既設病床",はじめに入力してください!$K$12,IF(B61="新設病床",はじめに入力してください!$K$13,IF(B61="共通使用",1,"")))</f>
        <v/>
      </c>
      <c r="Y61" s="16">
        <v>32</v>
      </c>
      <c r="Z61" s="105" t="str">
        <f t="shared" si="3"/>
        <v>○</v>
      </c>
      <c r="AA61" s="106" t="str">
        <f t="shared" si="4"/>
        <v>整備しない場合は入力不要です。</v>
      </c>
    </row>
    <row r="62" spans="1:27" hidden="1">
      <c r="A62" s="16">
        <v>33</v>
      </c>
      <c r="B62" s="10"/>
      <c r="C62" s="10"/>
      <c r="D62" s="10"/>
      <c r="E62" s="14"/>
      <c r="F62" s="11"/>
      <c r="G62" s="12"/>
      <c r="H62" s="25">
        <f t="shared" si="0"/>
        <v>0</v>
      </c>
      <c r="I62" s="8">
        <f t="shared" si="1"/>
        <v>0</v>
      </c>
      <c r="J62" s="13"/>
      <c r="K62" s="8">
        <f t="shared" si="2"/>
        <v>0</v>
      </c>
      <c r="L62" s="9" t="str">
        <f>IF(Z62="◎",COUNTIF($Z$30:Z62,"◎"),"")</f>
        <v/>
      </c>
      <c r="W62" s="106" t="str">
        <f>IF(B62="既設病床",はじめに入力してください!$K$12,IF(B62="新設病床",はじめに入力してください!$K$13,IF(B62="共通使用",1,"")))</f>
        <v/>
      </c>
      <c r="Y62" s="16">
        <v>33</v>
      </c>
      <c r="Z62" s="105" t="str">
        <f t="shared" si="3"/>
        <v>○</v>
      </c>
      <c r="AA62" s="106" t="str">
        <f t="shared" si="4"/>
        <v>整備しない場合は入力不要です。</v>
      </c>
    </row>
    <row r="63" spans="1:27" hidden="1">
      <c r="A63" s="16">
        <v>34</v>
      </c>
      <c r="B63" s="10"/>
      <c r="C63" s="10"/>
      <c r="D63" s="10"/>
      <c r="E63" s="14"/>
      <c r="F63" s="11"/>
      <c r="G63" s="12"/>
      <c r="H63" s="25">
        <f t="shared" si="0"/>
        <v>0</v>
      </c>
      <c r="I63" s="8">
        <f t="shared" si="1"/>
        <v>0</v>
      </c>
      <c r="J63" s="13"/>
      <c r="K63" s="8">
        <f t="shared" si="2"/>
        <v>0</v>
      </c>
      <c r="L63" s="9" t="str">
        <f>IF(Z63="◎",COUNTIF($Z$30:Z63,"◎"),"")</f>
        <v/>
      </c>
      <c r="W63" s="106" t="str">
        <f>IF(B63="既設病床",はじめに入力してください!$K$12,IF(B63="新設病床",はじめに入力してください!$K$13,IF(B63="共通使用",1,"")))</f>
        <v/>
      </c>
      <c r="Y63" s="16">
        <v>34</v>
      </c>
      <c r="Z63" s="105" t="str">
        <f t="shared" si="3"/>
        <v>○</v>
      </c>
      <c r="AA63" s="106" t="str">
        <f t="shared" si="4"/>
        <v>整備しない場合は入力不要です。</v>
      </c>
    </row>
    <row r="64" spans="1:27" hidden="1">
      <c r="A64" s="16">
        <v>35</v>
      </c>
      <c r="B64" s="10"/>
      <c r="C64" s="10"/>
      <c r="D64" s="10"/>
      <c r="E64" s="14"/>
      <c r="F64" s="11"/>
      <c r="G64" s="12"/>
      <c r="H64" s="25">
        <f t="shared" si="0"/>
        <v>0</v>
      </c>
      <c r="I64" s="8">
        <f t="shared" si="1"/>
        <v>0</v>
      </c>
      <c r="J64" s="13"/>
      <c r="K64" s="8">
        <f t="shared" si="2"/>
        <v>0</v>
      </c>
      <c r="L64" s="9" t="str">
        <f>IF(Z64="◎",COUNTIF($Z$30:Z64,"◎"),"")</f>
        <v/>
      </c>
      <c r="W64" s="106" t="str">
        <f>IF(B64="既設病床",はじめに入力してください!$K$12,IF(B64="新設病床",はじめに入力してください!$K$13,IF(B64="共通使用",1,"")))</f>
        <v/>
      </c>
      <c r="Y64" s="16">
        <v>35</v>
      </c>
      <c r="Z64" s="105" t="str">
        <f t="shared" si="3"/>
        <v>○</v>
      </c>
      <c r="AA64" s="106" t="str">
        <f t="shared" si="4"/>
        <v>整備しない場合は入力不要です。</v>
      </c>
    </row>
    <row r="65" spans="1:27" hidden="1">
      <c r="A65" s="16">
        <v>36</v>
      </c>
      <c r="B65" s="10"/>
      <c r="C65" s="10"/>
      <c r="D65" s="10"/>
      <c r="E65" s="14"/>
      <c r="F65" s="11"/>
      <c r="G65" s="12"/>
      <c r="H65" s="25">
        <f t="shared" si="0"/>
        <v>0</v>
      </c>
      <c r="I65" s="8">
        <f t="shared" si="1"/>
        <v>0</v>
      </c>
      <c r="J65" s="13"/>
      <c r="K65" s="8">
        <f t="shared" si="2"/>
        <v>0</v>
      </c>
      <c r="L65" s="9" t="str">
        <f>IF(Z65="◎",COUNTIF($Z$30:Z65,"◎"),"")</f>
        <v/>
      </c>
      <c r="W65" s="106" t="str">
        <f>IF(B65="既設病床",はじめに入力してください!$K$12,IF(B65="新設病床",はじめに入力してください!$K$13,IF(B65="共通使用",1,"")))</f>
        <v/>
      </c>
      <c r="Y65" s="16">
        <v>36</v>
      </c>
      <c r="Z65" s="105" t="str">
        <f t="shared" si="3"/>
        <v>○</v>
      </c>
      <c r="AA65" s="106" t="str">
        <f t="shared" si="4"/>
        <v>整備しない場合は入力不要です。</v>
      </c>
    </row>
    <row r="66" spans="1:27" hidden="1">
      <c r="A66" s="16">
        <v>37</v>
      </c>
      <c r="B66" s="10"/>
      <c r="C66" s="10"/>
      <c r="D66" s="10"/>
      <c r="E66" s="14"/>
      <c r="F66" s="11"/>
      <c r="G66" s="12"/>
      <c r="H66" s="25">
        <f t="shared" si="0"/>
        <v>0</v>
      </c>
      <c r="I66" s="8">
        <f t="shared" si="1"/>
        <v>0</v>
      </c>
      <c r="J66" s="13"/>
      <c r="K66" s="8">
        <f t="shared" si="2"/>
        <v>0</v>
      </c>
      <c r="L66" s="9" t="str">
        <f>IF(Z66="◎",COUNTIF($Z$30:Z66,"◎"),"")</f>
        <v/>
      </c>
      <c r="W66" s="106" t="str">
        <f>IF(B66="既設病床",はじめに入力してください!$K$12,IF(B66="新設病床",はじめに入力してください!$K$13,IF(B66="共通使用",1,"")))</f>
        <v/>
      </c>
      <c r="Y66" s="16">
        <v>37</v>
      </c>
      <c r="Z66" s="105" t="str">
        <f t="shared" si="3"/>
        <v>○</v>
      </c>
      <c r="AA66" s="106" t="str">
        <f t="shared" si="4"/>
        <v>整備しない場合は入力不要です。</v>
      </c>
    </row>
    <row r="67" spans="1:27" hidden="1">
      <c r="A67" s="16">
        <v>38</v>
      </c>
      <c r="B67" s="10"/>
      <c r="C67" s="10"/>
      <c r="D67" s="10"/>
      <c r="E67" s="14"/>
      <c r="F67" s="11"/>
      <c r="G67" s="12"/>
      <c r="H67" s="25">
        <f t="shared" si="0"/>
        <v>0</v>
      </c>
      <c r="I67" s="8">
        <f t="shared" si="1"/>
        <v>0</v>
      </c>
      <c r="J67" s="13"/>
      <c r="K67" s="8">
        <f t="shared" si="2"/>
        <v>0</v>
      </c>
      <c r="L67" s="9" t="str">
        <f>IF(Z67="◎",COUNTIF($Z$30:Z67,"◎"),"")</f>
        <v/>
      </c>
      <c r="W67" s="106" t="str">
        <f>IF(B67="既設病床",はじめに入力してください!$K$12,IF(B67="新設病床",はじめに入力してください!$K$13,IF(B67="共通使用",1,"")))</f>
        <v/>
      </c>
      <c r="Y67" s="16">
        <v>38</v>
      </c>
      <c r="Z67" s="105" t="str">
        <f t="shared" si="3"/>
        <v>○</v>
      </c>
      <c r="AA67" s="106" t="str">
        <f t="shared" si="4"/>
        <v>整備しない場合は入力不要です。</v>
      </c>
    </row>
    <row r="68" spans="1:27" hidden="1">
      <c r="A68" s="16">
        <v>39</v>
      </c>
      <c r="B68" s="10"/>
      <c r="C68" s="10"/>
      <c r="D68" s="10"/>
      <c r="E68" s="14"/>
      <c r="F68" s="11"/>
      <c r="G68" s="12"/>
      <c r="H68" s="25">
        <f t="shared" si="0"/>
        <v>0</v>
      </c>
      <c r="I68" s="8">
        <f t="shared" si="1"/>
        <v>0</v>
      </c>
      <c r="J68" s="13"/>
      <c r="K68" s="8">
        <f t="shared" si="2"/>
        <v>0</v>
      </c>
      <c r="L68" s="9" t="str">
        <f>IF(Z68="◎",COUNTIF($Z$30:Z68,"◎"),"")</f>
        <v/>
      </c>
      <c r="W68" s="106" t="str">
        <f>IF(B68="既設病床",はじめに入力してください!$K$12,IF(B68="新設病床",はじめに入力してください!$K$13,IF(B68="共通使用",1,"")))</f>
        <v/>
      </c>
      <c r="Y68" s="16">
        <v>39</v>
      </c>
      <c r="Z68" s="105" t="str">
        <f t="shared" si="3"/>
        <v>○</v>
      </c>
      <c r="AA68" s="106" t="str">
        <f t="shared" si="4"/>
        <v>整備しない場合は入力不要です。</v>
      </c>
    </row>
    <row r="69" spans="1:27" hidden="1">
      <c r="A69" s="16">
        <v>40</v>
      </c>
      <c r="B69" s="10"/>
      <c r="C69" s="10"/>
      <c r="D69" s="10"/>
      <c r="E69" s="14"/>
      <c r="F69" s="11"/>
      <c r="G69" s="12"/>
      <c r="H69" s="25">
        <f t="shared" si="0"/>
        <v>0</v>
      </c>
      <c r="I69" s="8">
        <f t="shared" si="1"/>
        <v>0</v>
      </c>
      <c r="J69" s="13"/>
      <c r="K69" s="8">
        <f t="shared" si="2"/>
        <v>0</v>
      </c>
      <c r="L69" s="9" t="str">
        <f>IF(Z69="◎",COUNTIF($Z$30:Z69,"◎"),"")</f>
        <v/>
      </c>
      <c r="W69" s="106" t="str">
        <f>IF(B69="既設病床",はじめに入力してください!$K$12,IF(B69="新設病床",はじめに入力してください!$K$13,IF(B69="共通使用",1,"")))</f>
        <v/>
      </c>
      <c r="Y69" s="16">
        <v>40</v>
      </c>
      <c r="Z69" s="105" t="str">
        <f t="shared" si="3"/>
        <v>○</v>
      </c>
      <c r="AA69" s="106" t="str">
        <f t="shared" si="4"/>
        <v>整備しない場合は入力不要です。</v>
      </c>
    </row>
    <row r="70" spans="1:27" hidden="1">
      <c r="A70" s="16">
        <v>41</v>
      </c>
      <c r="B70" s="10"/>
      <c r="C70" s="10"/>
      <c r="D70" s="10"/>
      <c r="E70" s="14"/>
      <c r="F70" s="11"/>
      <c r="G70" s="12"/>
      <c r="H70" s="25">
        <f t="shared" si="0"/>
        <v>0</v>
      </c>
      <c r="I70" s="8">
        <f t="shared" si="1"/>
        <v>0</v>
      </c>
      <c r="J70" s="13"/>
      <c r="K70" s="8">
        <f t="shared" si="2"/>
        <v>0</v>
      </c>
      <c r="L70" s="9" t="str">
        <f>IF(Z70="◎",COUNTIF($Z$30:Z70,"◎"),"")</f>
        <v/>
      </c>
      <c r="W70" s="106" t="str">
        <f>IF(B70="既設病床",はじめに入力してください!$K$12,IF(B70="新設病床",はじめに入力してください!$K$13,IF(B70="共通使用",1,"")))</f>
        <v/>
      </c>
      <c r="Y70" s="16">
        <v>41</v>
      </c>
      <c r="Z70" s="105" t="str">
        <f t="shared" si="3"/>
        <v>○</v>
      </c>
      <c r="AA70" s="106" t="str">
        <f t="shared" si="4"/>
        <v>整備しない場合は入力不要です。</v>
      </c>
    </row>
    <row r="71" spans="1:27" hidden="1">
      <c r="A71" s="16">
        <v>42</v>
      </c>
      <c r="B71" s="10"/>
      <c r="C71" s="10"/>
      <c r="D71" s="10"/>
      <c r="E71" s="14"/>
      <c r="F71" s="11"/>
      <c r="G71" s="12"/>
      <c r="H71" s="25">
        <f t="shared" si="0"/>
        <v>0</v>
      </c>
      <c r="I71" s="8">
        <f t="shared" si="1"/>
        <v>0</v>
      </c>
      <c r="J71" s="13"/>
      <c r="K71" s="8">
        <f t="shared" si="2"/>
        <v>0</v>
      </c>
      <c r="L71" s="9" t="str">
        <f>IF(Z71="◎",COUNTIF($Z$30:Z71,"◎"),"")</f>
        <v/>
      </c>
      <c r="W71" s="106" t="str">
        <f>IF(B71="既設病床",はじめに入力してください!$K$12,IF(B71="新設病床",はじめに入力してください!$K$13,IF(B71="共通使用",1,"")))</f>
        <v/>
      </c>
      <c r="Y71" s="16">
        <v>42</v>
      </c>
      <c r="Z71" s="105" t="str">
        <f t="shared" si="3"/>
        <v>○</v>
      </c>
      <c r="AA71" s="106" t="str">
        <f t="shared" si="4"/>
        <v>整備しない場合は入力不要です。</v>
      </c>
    </row>
    <row r="72" spans="1:27" hidden="1">
      <c r="A72" s="16">
        <v>43</v>
      </c>
      <c r="B72" s="10"/>
      <c r="C72" s="10"/>
      <c r="D72" s="10"/>
      <c r="E72" s="14"/>
      <c r="F72" s="11"/>
      <c r="G72" s="12"/>
      <c r="H72" s="25">
        <f t="shared" si="0"/>
        <v>0</v>
      </c>
      <c r="I72" s="8">
        <f t="shared" si="1"/>
        <v>0</v>
      </c>
      <c r="J72" s="13"/>
      <c r="K72" s="8">
        <f t="shared" si="2"/>
        <v>0</v>
      </c>
      <c r="L72" s="9" t="str">
        <f>IF(Z72="◎",COUNTIF($Z$30:Z72,"◎"),"")</f>
        <v/>
      </c>
      <c r="W72" s="106" t="str">
        <f>IF(B72="既設病床",はじめに入力してください!$K$12,IF(B72="新設病床",はじめに入力してください!$K$13,IF(B72="共通使用",1,"")))</f>
        <v/>
      </c>
      <c r="Y72" s="16">
        <v>43</v>
      </c>
      <c r="Z72" s="105" t="str">
        <f t="shared" si="3"/>
        <v>○</v>
      </c>
      <c r="AA72" s="106" t="str">
        <f t="shared" si="4"/>
        <v>整備しない場合は入力不要です。</v>
      </c>
    </row>
    <row r="73" spans="1:27" hidden="1">
      <c r="A73" s="16">
        <v>44</v>
      </c>
      <c r="B73" s="10"/>
      <c r="C73" s="10"/>
      <c r="D73" s="10"/>
      <c r="E73" s="14"/>
      <c r="F73" s="11"/>
      <c r="G73" s="12"/>
      <c r="H73" s="25">
        <f t="shared" si="0"/>
        <v>0</v>
      </c>
      <c r="I73" s="8">
        <f t="shared" si="1"/>
        <v>0</v>
      </c>
      <c r="J73" s="13"/>
      <c r="K73" s="8">
        <f t="shared" si="2"/>
        <v>0</v>
      </c>
      <c r="L73" s="9" t="str">
        <f>IF(Z73="◎",COUNTIF($Z$30:Z73,"◎"),"")</f>
        <v/>
      </c>
      <c r="W73" s="106" t="str">
        <f>IF(B73="既設病床",はじめに入力してください!$K$12,IF(B73="新設病床",はじめに入力してください!$K$13,IF(B73="共通使用",1,"")))</f>
        <v/>
      </c>
      <c r="Y73" s="16">
        <v>44</v>
      </c>
      <c r="Z73" s="105" t="str">
        <f t="shared" si="3"/>
        <v>○</v>
      </c>
      <c r="AA73" s="106" t="str">
        <f t="shared" si="4"/>
        <v>整備しない場合は入力不要です。</v>
      </c>
    </row>
    <row r="74" spans="1:27" hidden="1">
      <c r="A74" s="16">
        <v>45</v>
      </c>
      <c r="B74" s="10"/>
      <c r="C74" s="10"/>
      <c r="D74" s="10"/>
      <c r="E74" s="14"/>
      <c r="F74" s="11"/>
      <c r="G74" s="12"/>
      <c r="H74" s="25">
        <f t="shared" si="0"/>
        <v>0</v>
      </c>
      <c r="I74" s="8">
        <f t="shared" si="1"/>
        <v>0</v>
      </c>
      <c r="J74" s="13"/>
      <c r="K74" s="8">
        <f t="shared" si="2"/>
        <v>0</v>
      </c>
      <c r="L74" s="9" t="str">
        <f>IF(Z74="◎",COUNTIF($Z$30:Z74,"◎"),"")</f>
        <v/>
      </c>
      <c r="W74" s="106" t="str">
        <f>IF(B74="既設病床",はじめに入力してください!$K$12,IF(B74="新設病床",はじめに入力してください!$K$13,IF(B74="共通使用",1,"")))</f>
        <v/>
      </c>
      <c r="Y74" s="16">
        <v>45</v>
      </c>
      <c r="Z74" s="105" t="str">
        <f t="shared" si="3"/>
        <v>○</v>
      </c>
      <c r="AA74" s="106" t="str">
        <f t="shared" si="4"/>
        <v>整備しない場合は入力不要です。</v>
      </c>
    </row>
  </sheetData>
  <sheetProtection algorithmName="SHA-512" hashValue="ElX/gxPXYxyfaq+0x0Gm/tdvOZDGg8Sx/WtSSr2YBd2p7L3PNl8+NmlRg9C8SuXXBoxoSsh6/068fhwvWTHukQ==" saltValue="cMWsk3hmANGPbyVGomcIqA=="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43" priority="4" operator="containsText" text="×">
      <formula>NOT(ISERROR(SEARCH("×",Z1)))</formula>
    </cfRule>
  </conditionalFormatting>
  <conditionalFormatting sqref="AA1:AA4 AA9:AA21 AA29:AA1048576 AA6:AA7 AA23:AA27">
    <cfRule type="containsText" dxfId="42" priority="3" operator="containsText" text="要修正">
      <formula>NOT(ISERROR(SEARCH("要修正",AA1)))</formula>
    </cfRule>
  </conditionalFormatting>
  <conditionalFormatting sqref="Z22">
    <cfRule type="containsText" dxfId="41" priority="2" operator="containsText" text="×">
      <formula>NOT(ISERROR(SEARCH("×",Z22)))</formula>
    </cfRule>
  </conditionalFormatting>
  <conditionalFormatting sqref="AA22">
    <cfRule type="containsText" dxfId="40" priority="1" operator="containsText" text="要修正">
      <formula>NOT(ISERROR(SEARCH("要修正",AA22)))</formula>
    </cfRule>
  </conditionalFormatting>
  <dataValidations xWindow="377" yWindow="491" count="9">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200-000000000000}">
      <formula1>"補助対象,補助対象外"</formula1>
    </dataValidation>
    <dataValidation type="list" allowBlank="1" showInputMessage="1" showErrorMessage="1" promptTitle="設備、備品、その他の別を選択" prompt="当該行に記載する品目が_x000a_・「設備」（換気扇等立て付けのもの）_x000a_・備品（機材、什器等）_x000a_・その他（上記の該当しないもの）_x000a_の別をプルダウンから選択してください。" sqref="D34:D74" xr:uid="{00000000-0002-0000-1200-000001000000}">
      <formula1>"設備,備品,その他"</formula1>
    </dataValidation>
    <dataValidation allowBlank="1" showInputMessage="1" showErrorMessage="1" promptTitle="金額の表示" prompt="数式が入力されているため、自動計算されます。" sqref="K30:K74 I30:I74" xr:uid="{00000000-0002-0000-1200-000002000000}"/>
    <dataValidation allowBlank="1" showInputMessage="1" showErrorMessage="1" promptTitle="添付書類番号" prompt="種類、規格、数量、単価が全て適切に入力され、右の「判定」が「◎」と表示されると自動で番号が表示されます。" sqref="L30:L74" xr:uid="{00000000-0002-0000-1200-000003000000}"/>
    <dataValidation allowBlank="1" showInputMessage="1" showErrorMessage="1" promptTitle="単価の入力" prompt="税抜額または税込額のいずれかを入力してください。_x000a_入力しない方は「0」は入力せず、空欄としてください。" sqref="G30:H74" xr:uid="{00000000-0002-0000-1200-000004000000}"/>
    <dataValidation allowBlank="1" showInputMessage="1" showErrorMessage="1" promptTitle="規格及び数量の入力" prompt="補助対象経費を計上する際、いずれも入力してください。" sqref="E30:F74" xr:uid="{00000000-0002-0000-1200-000005000000}"/>
    <dataValidation allowBlank="1" showInputMessage="1" showErrorMessage="1" promptTitle="補助対象金額" prompt="補助対象額×（見積書金額-割引額）/見積書金額_x000a_で算出されます。" sqref="J3" xr:uid="{00000000-0002-0000-1200-000006000000}"/>
    <dataValidation allowBlank="1" showInputMessage="1" showErrorMessage="1" promptTitle="割引額がある場合は入力" prompt="割引がない場合は「0円」のままとしてください。" sqref="I3" xr:uid="{00000000-0002-0000-1200-000007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33" xr:uid="{00000000-0002-0000-1200-000008000000}">
      <formula1>"設備,備品,その他"</formula1>
    </dataValidation>
  </dataValidations>
  <pageMargins left="0.7" right="0.7" top="0.75" bottom="0.75" header="0.3" footer="0.3"/>
  <pageSetup paperSize="9" scale="56" orientation="portrait" r:id="rId1"/>
  <drawing r:id="rId2"/>
  <legacyDrawing r:id="rId3"/>
  <extLst>
    <ext xmlns:x14="http://schemas.microsoft.com/office/spreadsheetml/2009/9/main" uri="{CCE6A557-97BC-4b89-ADB6-D9C93CAAB3DF}">
      <x14:dataValidations xmlns:xm="http://schemas.microsoft.com/office/excel/2006/main" xWindow="377" yWindow="491" count="5">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r:uid="{00000000-0002-0000-1200-000009000000}">
          <x14:formula1>
            <xm:f>OFFSET(テーブル!$W$48, 0, MATCH(B34,テーブル!$X$47:$Z$47,0), COUNTA(OFFSET(テーブル!$W$48,0,MATCH(B34,テーブル!$X$47:$Z$47,0),$W$30,1)),1)</xm:f>
          </x14:formula1>
          <xm:sqref>C34:C74</xm:sqref>
        </x14:dataValidation>
        <x14:dataValidation type="list" allowBlank="1" showInputMessage="1" showErrorMessage="1" xr:uid="{00000000-0002-0000-1200-00000A000000}">
          <x14:formula1>
            <xm:f>テーブル!$H$37:$H$51</xm:f>
          </x14:formula1>
          <xm:sqref>B2:D2</xm:sqref>
        </x14:dataValidation>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r:uid="{00000000-0002-0000-1200-00000B000000}">
          <x14:formula1>
            <xm:f>テーブル!$W$48:$W$50</xm:f>
          </x14:formula1>
          <xm:sqref>B34:B74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200-00000C000000}">
          <x14:formula1>
            <xm:f>OFFSET(テーブル!$W$48, 0, MATCH(B30,テーブル!$X$47:$Y$47,0), COUNTA(OFFSET(テーブル!$W$48,0,MATCH(B30,テーブル!$X$47:$Y$47,0),$W$30,1)),1)</xm:f>
          </x14:formula1>
          <xm:sqref>C30:C33</xm:sqref>
        </x14:dataValidation>
        <x14:dataValidation type="list" allowBlank="1" showInputMessage="1" showErrorMessage="1" promptTitle="配備先の別を選択" prompt="確保病床の共通使用のものか、個別のベッドに配備するものか選択してください。" xr:uid="{00000000-0002-0000-1200-00000D000000}">
          <x14:formula1>
            <xm:f>テーブル!$W$48:$W$49</xm:f>
          </x14:formula1>
          <xm:sqref>B30:B33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X70"/>
  <sheetViews>
    <sheetView view="pageBreakPreview" topLeftCell="A34" zoomScaleNormal="100" zoomScaleSheetLayoutView="100" workbookViewId="0">
      <selection activeCell="B6" sqref="B6:B17"/>
    </sheetView>
  </sheetViews>
  <sheetFormatPr defaultColWidth="9" defaultRowHeight="10.5"/>
  <cols>
    <col min="1" max="16384" width="9" style="109"/>
  </cols>
  <sheetData>
    <row r="1" spans="1:128" s="282" customFormat="1">
      <c r="A1" s="285"/>
      <c r="B1" s="285"/>
      <c r="C1" s="319" t="s">
        <v>572</v>
      </c>
      <c r="D1" s="319"/>
      <c r="E1" s="319"/>
      <c r="F1" s="319"/>
      <c r="G1" s="319"/>
      <c r="H1" s="319"/>
      <c r="I1" s="319"/>
      <c r="J1" s="319"/>
      <c r="K1" s="319" t="s">
        <v>573</v>
      </c>
      <c r="L1" s="319"/>
      <c r="M1" s="319"/>
      <c r="N1" s="319"/>
      <c r="O1" s="319"/>
      <c r="P1" s="319"/>
      <c r="Q1" s="319"/>
      <c r="R1" s="319"/>
      <c r="S1" s="319" t="s">
        <v>601</v>
      </c>
      <c r="T1" s="319"/>
      <c r="U1" s="319"/>
      <c r="V1" s="319"/>
      <c r="W1" s="319"/>
      <c r="X1" s="319"/>
      <c r="Y1" s="319"/>
      <c r="Z1" s="319"/>
      <c r="AA1" s="319" t="s">
        <v>659</v>
      </c>
      <c r="AB1" s="319"/>
      <c r="AC1" s="319"/>
      <c r="AD1" s="319"/>
      <c r="AE1" s="319"/>
      <c r="AF1" s="319"/>
      <c r="AG1" s="319"/>
      <c r="AH1" s="319"/>
      <c r="AI1" s="319" t="s">
        <v>603</v>
      </c>
      <c r="AJ1" s="319"/>
      <c r="AK1" s="319"/>
      <c r="AL1" s="319"/>
      <c r="AM1" s="319"/>
      <c r="AN1" s="319"/>
      <c r="AO1" s="319"/>
      <c r="AP1" s="319"/>
      <c r="AQ1" s="319" t="s">
        <v>660</v>
      </c>
      <c r="AR1" s="319"/>
      <c r="AS1" s="319"/>
      <c r="AT1" s="319"/>
      <c r="AU1" s="319"/>
      <c r="AV1" s="319"/>
      <c r="AW1" s="319"/>
      <c r="AX1" s="319"/>
      <c r="AY1" s="319" t="s">
        <v>605</v>
      </c>
      <c r="AZ1" s="319"/>
      <c r="BA1" s="319"/>
      <c r="BB1" s="319"/>
      <c r="BC1" s="319"/>
      <c r="BD1" s="319"/>
      <c r="BE1" s="319"/>
      <c r="BF1" s="319"/>
      <c r="BG1" s="319" t="s">
        <v>581</v>
      </c>
      <c r="BH1" s="319"/>
      <c r="BI1" s="319"/>
      <c r="BJ1" s="319"/>
      <c r="BK1" s="319"/>
      <c r="BL1" s="319"/>
      <c r="BM1" s="319"/>
      <c r="BN1" s="319"/>
      <c r="BO1" s="319" t="s">
        <v>585</v>
      </c>
      <c r="BP1" s="319"/>
      <c r="BQ1" s="319"/>
      <c r="BR1" s="319"/>
      <c r="BS1" s="319"/>
      <c r="BT1" s="319"/>
      <c r="BU1" s="319"/>
      <c r="BV1" s="319"/>
      <c r="BW1" s="319" t="s">
        <v>586</v>
      </c>
      <c r="BX1" s="319"/>
      <c r="BY1" s="319"/>
      <c r="BZ1" s="319"/>
      <c r="CA1" s="319"/>
      <c r="CB1" s="319"/>
      <c r="CC1" s="319"/>
      <c r="CD1" s="319"/>
      <c r="CE1" s="319" t="s">
        <v>587</v>
      </c>
      <c r="CF1" s="319"/>
      <c r="CG1" s="319"/>
      <c r="CH1" s="319"/>
      <c r="CI1" s="319"/>
      <c r="CJ1" s="319"/>
      <c r="CK1" s="319"/>
      <c r="CL1" s="319"/>
      <c r="CM1" s="319" t="s">
        <v>661</v>
      </c>
      <c r="CN1" s="319"/>
      <c r="CO1" s="319"/>
      <c r="CP1" s="319"/>
      <c r="CQ1" s="319"/>
      <c r="CR1" s="319"/>
      <c r="CS1" s="319"/>
      <c r="CT1" s="319"/>
      <c r="CU1" s="319" t="s">
        <v>662</v>
      </c>
      <c r="CV1" s="319"/>
      <c r="CW1" s="319"/>
      <c r="CX1" s="319"/>
      <c r="CY1" s="319"/>
      <c r="CZ1" s="319"/>
      <c r="DA1" s="319"/>
      <c r="DB1" s="319"/>
      <c r="DC1" s="319" t="s">
        <v>589</v>
      </c>
      <c r="DD1" s="319"/>
      <c r="DE1" s="319"/>
      <c r="DF1" s="319"/>
      <c r="DG1" s="319"/>
      <c r="DH1" s="319"/>
      <c r="DI1" s="319"/>
      <c r="DJ1" s="319"/>
      <c r="DK1" s="319" t="s">
        <v>590</v>
      </c>
      <c r="DL1" s="319"/>
      <c r="DM1" s="319"/>
      <c r="DN1" s="319"/>
      <c r="DO1" s="319"/>
      <c r="DP1" s="319"/>
      <c r="DQ1" s="319"/>
      <c r="DR1" s="319"/>
      <c r="DS1" s="319" t="s">
        <v>663</v>
      </c>
      <c r="DT1" s="319"/>
      <c r="DU1" s="319"/>
      <c r="DV1" s="319" t="s">
        <v>676</v>
      </c>
      <c r="DW1" s="319"/>
      <c r="DX1" s="319"/>
    </row>
    <row r="2" spans="1:128" s="282" customFormat="1">
      <c r="A2" s="285"/>
      <c r="B2" s="285" t="s">
        <v>664</v>
      </c>
      <c r="C2" s="285" t="s">
        <v>665</v>
      </c>
      <c r="D2" s="285" t="s">
        <v>666</v>
      </c>
      <c r="E2" s="285" t="s">
        <v>667</v>
      </c>
      <c r="F2" s="285" t="s">
        <v>668</v>
      </c>
      <c r="G2" s="285" t="s">
        <v>669</v>
      </c>
      <c r="H2" s="285" t="s">
        <v>670</v>
      </c>
      <c r="I2" s="285" t="s">
        <v>671</v>
      </c>
      <c r="J2" s="285" t="s">
        <v>672</v>
      </c>
      <c r="K2" s="285" t="s">
        <v>665</v>
      </c>
      <c r="L2" s="285" t="s">
        <v>666</v>
      </c>
      <c r="M2" s="285" t="s">
        <v>667</v>
      </c>
      <c r="N2" s="285" t="s">
        <v>668</v>
      </c>
      <c r="O2" s="285" t="s">
        <v>669</v>
      </c>
      <c r="P2" s="285" t="s">
        <v>670</v>
      </c>
      <c r="Q2" s="285" t="s">
        <v>671</v>
      </c>
      <c r="R2" s="285" t="s">
        <v>672</v>
      </c>
      <c r="S2" s="285" t="s">
        <v>665</v>
      </c>
      <c r="T2" s="285" t="s">
        <v>666</v>
      </c>
      <c r="U2" s="285" t="s">
        <v>667</v>
      </c>
      <c r="V2" s="285" t="s">
        <v>668</v>
      </c>
      <c r="W2" s="285" t="s">
        <v>669</v>
      </c>
      <c r="X2" s="285" t="s">
        <v>670</v>
      </c>
      <c r="Y2" s="285" t="s">
        <v>671</v>
      </c>
      <c r="Z2" s="285" t="s">
        <v>672</v>
      </c>
      <c r="AA2" s="285" t="s">
        <v>665</v>
      </c>
      <c r="AB2" s="285" t="s">
        <v>666</v>
      </c>
      <c r="AC2" s="285" t="s">
        <v>667</v>
      </c>
      <c r="AD2" s="285" t="s">
        <v>668</v>
      </c>
      <c r="AE2" s="285" t="s">
        <v>669</v>
      </c>
      <c r="AF2" s="285" t="s">
        <v>670</v>
      </c>
      <c r="AG2" s="285" t="s">
        <v>671</v>
      </c>
      <c r="AH2" s="285" t="s">
        <v>672</v>
      </c>
      <c r="AI2" s="285" t="s">
        <v>665</v>
      </c>
      <c r="AJ2" s="285" t="s">
        <v>666</v>
      </c>
      <c r="AK2" s="285" t="s">
        <v>667</v>
      </c>
      <c r="AL2" s="285" t="s">
        <v>668</v>
      </c>
      <c r="AM2" s="285" t="s">
        <v>669</v>
      </c>
      <c r="AN2" s="285" t="s">
        <v>670</v>
      </c>
      <c r="AO2" s="285" t="s">
        <v>671</v>
      </c>
      <c r="AP2" s="285" t="s">
        <v>672</v>
      </c>
      <c r="AQ2" s="285" t="s">
        <v>665</v>
      </c>
      <c r="AR2" s="285" t="s">
        <v>666</v>
      </c>
      <c r="AS2" s="285" t="s">
        <v>667</v>
      </c>
      <c r="AT2" s="285" t="s">
        <v>668</v>
      </c>
      <c r="AU2" s="285" t="s">
        <v>669</v>
      </c>
      <c r="AV2" s="285" t="s">
        <v>670</v>
      </c>
      <c r="AW2" s="285" t="s">
        <v>671</v>
      </c>
      <c r="AX2" s="285" t="s">
        <v>672</v>
      </c>
      <c r="AY2" s="285" t="s">
        <v>665</v>
      </c>
      <c r="AZ2" s="285" t="s">
        <v>666</v>
      </c>
      <c r="BA2" s="285" t="s">
        <v>667</v>
      </c>
      <c r="BB2" s="285" t="s">
        <v>668</v>
      </c>
      <c r="BC2" s="285" t="s">
        <v>669</v>
      </c>
      <c r="BD2" s="285" t="s">
        <v>670</v>
      </c>
      <c r="BE2" s="285" t="s">
        <v>671</v>
      </c>
      <c r="BF2" s="285" t="s">
        <v>672</v>
      </c>
      <c r="BG2" s="285" t="s">
        <v>665</v>
      </c>
      <c r="BH2" s="285" t="s">
        <v>666</v>
      </c>
      <c r="BI2" s="285" t="s">
        <v>667</v>
      </c>
      <c r="BJ2" s="285" t="s">
        <v>668</v>
      </c>
      <c r="BK2" s="285" t="s">
        <v>669</v>
      </c>
      <c r="BL2" s="285" t="s">
        <v>670</v>
      </c>
      <c r="BM2" s="285" t="s">
        <v>671</v>
      </c>
      <c r="BN2" s="285" t="s">
        <v>672</v>
      </c>
      <c r="BO2" s="285" t="s">
        <v>665</v>
      </c>
      <c r="BP2" s="285" t="s">
        <v>666</v>
      </c>
      <c r="BQ2" s="285" t="s">
        <v>667</v>
      </c>
      <c r="BR2" s="285" t="s">
        <v>668</v>
      </c>
      <c r="BS2" s="285" t="s">
        <v>669</v>
      </c>
      <c r="BT2" s="285" t="s">
        <v>670</v>
      </c>
      <c r="BU2" s="285" t="s">
        <v>671</v>
      </c>
      <c r="BV2" s="285" t="s">
        <v>672</v>
      </c>
      <c r="BW2" s="285" t="s">
        <v>665</v>
      </c>
      <c r="BX2" s="285" t="s">
        <v>666</v>
      </c>
      <c r="BY2" s="285" t="s">
        <v>667</v>
      </c>
      <c r="BZ2" s="285" t="s">
        <v>668</v>
      </c>
      <c r="CA2" s="285" t="s">
        <v>669</v>
      </c>
      <c r="CB2" s="285" t="s">
        <v>670</v>
      </c>
      <c r="CC2" s="285" t="s">
        <v>671</v>
      </c>
      <c r="CD2" s="285" t="s">
        <v>672</v>
      </c>
      <c r="CE2" s="285" t="s">
        <v>665</v>
      </c>
      <c r="CF2" s="285" t="s">
        <v>666</v>
      </c>
      <c r="CG2" s="285" t="s">
        <v>667</v>
      </c>
      <c r="CH2" s="285" t="s">
        <v>668</v>
      </c>
      <c r="CI2" s="285" t="s">
        <v>669</v>
      </c>
      <c r="CJ2" s="285" t="s">
        <v>670</v>
      </c>
      <c r="CK2" s="285" t="s">
        <v>671</v>
      </c>
      <c r="CL2" s="285" t="s">
        <v>672</v>
      </c>
      <c r="CM2" s="285" t="s">
        <v>665</v>
      </c>
      <c r="CN2" s="285" t="s">
        <v>666</v>
      </c>
      <c r="CO2" s="285" t="s">
        <v>667</v>
      </c>
      <c r="CP2" s="285" t="s">
        <v>668</v>
      </c>
      <c r="CQ2" s="285" t="s">
        <v>669</v>
      </c>
      <c r="CR2" s="285" t="s">
        <v>670</v>
      </c>
      <c r="CS2" s="285" t="s">
        <v>671</v>
      </c>
      <c r="CT2" s="285" t="s">
        <v>672</v>
      </c>
      <c r="CU2" s="285" t="s">
        <v>665</v>
      </c>
      <c r="CV2" s="285" t="s">
        <v>666</v>
      </c>
      <c r="CW2" s="285" t="s">
        <v>667</v>
      </c>
      <c r="CX2" s="285" t="s">
        <v>668</v>
      </c>
      <c r="CY2" s="285" t="s">
        <v>669</v>
      </c>
      <c r="CZ2" s="285" t="s">
        <v>670</v>
      </c>
      <c r="DA2" s="285" t="s">
        <v>671</v>
      </c>
      <c r="DB2" s="285" t="s">
        <v>672</v>
      </c>
      <c r="DC2" s="285" t="s">
        <v>665</v>
      </c>
      <c r="DD2" s="285" t="s">
        <v>666</v>
      </c>
      <c r="DE2" s="285" t="s">
        <v>667</v>
      </c>
      <c r="DF2" s="285" t="s">
        <v>668</v>
      </c>
      <c r="DG2" s="285" t="s">
        <v>669</v>
      </c>
      <c r="DH2" s="285" t="s">
        <v>670</v>
      </c>
      <c r="DI2" s="285" t="s">
        <v>671</v>
      </c>
      <c r="DJ2" s="285" t="s">
        <v>672</v>
      </c>
      <c r="DK2" s="285" t="s">
        <v>665</v>
      </c>
      <c r="DL2" s="285" t="s">
        <v>666</v>
      </c>
      <c r="DM2" s="285" t="s">
        <v>667</v>
      </c>
      <c r="DN2" s="285" t="s">
        <v>668</v>
      </c>
      <c r="DO2" s="285" t="s">
        <v>669</v>
      </c>
      <c r="DP2" s="285" t="s">
        <v>670</v>
      </c>
      <c r="DQ2" s="285" t="s">
        <v>671</v>
      </c>
      <c r="DR2" s="285" t="s">
        <v>672</v>
      </c>
      <c r="DS2" s="285" t="s">
        <v>565</v>
      </c>
      <c r="DT2" s="285" t="s">
        <v>566</v>
      </c>
      <c r="DU2" s="285" t="s">
        <v>568</v>
      </c>
      <c r="DV2" s="285" t="s">
        <v>673</v>
      </c>
      <c r="DW2" s="285" t="s">
        <v>674</v>
      </c>
      <c r="DX2" s="285" t="s">
        <v>675</v>
      </c>
    </row>
    <row r="3" spans="1:128" s="282" customFormat="1">
      <c r="A3" s="285" t="s">
        <v>746</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285"/>
      <c r="BR3" s="285"/>
      <c r="BS3" s="285"/>
      <c r="BT3" s="285"/>
      <c r="BU3" s="285"/>
      <c r="BV3" s="285"/>
      <c r="BW3" s="285"/>
      <c r="BX3" s="285"/>
      <c r="BY3" s="285"/>
      <c r="BZ3" s="285"/>
      <c r="CA3" s="285"/>
      <c r="CB3" s="285"/>
      <c r="CC3" s="285"/>
      <c r="CD3" s="285"/>
      <c r="CE3" s="285"/>
      <c r="CF3" s="285"/>
      <c r="CG3" s="285"/>
      <c r="CH3" s="285"/>
      <c r="CI3" s="285"/>
      <c r="CJ3" s="285"/>
      <c r="CK3" s="285"/>
      <c r="CL3" s="285"/>
      <c r="CM3" s="285"/>
      <c r="CN3" s="285"/>
      <c r="CO3" s="285"/>
      <c r="CP3" s="285"/>
      <c r="CQ3" s="285"/>
      <c r="CR3" s="285"/>
      <c r="CS3" s="285"/>
      <c r="CT3" s="285"/>
      <c r="CU3" s="285"/>
      <c r="CV3" s="285"/>
      <c r="CW3" s="285"/>
      <c r="CX3" s="285"/>
      <c r="CY3" s="285"/>
      <c r="CZ3" s="285"/>
      <c r="DA3" s="285"/>
      <c r="DB3" s="285"/>
      <c r="DC3" s="285"/>
      <c r="DD3" s="285"/>
      <c r="DE3" s="285"/>
      <c r="DF3" s="285"/>
      <c r="DG3" s="285"/>
      <c r="DH3" s="285"/>
      <c r="DI3" s="285"/>
      <c r="DJ3" s="285"/>
      <c r="DK3" s="285"/>
      <c r="DL3" s="285"/>
      <c r="DM3" s="285"/>
      <c r="DN3" s="285"/>
      <c r="DO3" s="285"/>
      <c r="DP3" s="285"/>
      <c r="DQ3" s="285"/>
      <c r="DR3" s="285"/>
      <c r="DS3" s="285"/>
      <c r="DT3" s="285"/>
      <c r="DU3" s="285"/>
      <c r="DV3" s="285"/>
      <c r="DW3" s="285"/>
      <c r="DX3" s="285"/>
    </row>
    <row r="4" spans="1:128">
      <c r="A4" s="284">
        <v>1</v>
      </c>
      <c r="B4" s="284">
        <v>5929000</v>
      </c>
      <c r="C4" s="284">
        <v>0</v>
      </c>
      <c r="D4" s="284">
        <v>0</v>
      </c>
      <c r="E4" s="284">
        <v>0</v>
      </c>
      <c r="F4" s="284">
        <v>0</v>
      </c>
      <c r="G4" s="284">
        <v>0</v>
      </c>
      <c r="H4" s="284">
        <v>0</v>
      </c>
      <c r="I4" s="284">
        <v>0</v>
      </c>
      <c r="J4" s="284">
        <v>0</v>
      </c>
      <c r="K4" s="284">
        <v>0</v>
      </c>
      <c r="L4" s="284">
        <v>0</v>
      </c>
      <c r="M4" s="284">
        <v>0</v>
      </c>
      <c r="N4" s="284">
        <v>0</v>
      </c>
      <c r="O4" s="284">
        <v>0</v>
      </c>
      <c r="P4" s="284">
        <v>0</v>
      </c>
      <c r="Q4" s="284">
        <v>0</v>
      </c>
      <c r="R4" s="284">
        <v>0</v>
      </c>
      <c r="S4" s="284">
        <v>25729545</v>
      </c>
      <c r="T4" s="284">
        <v>0</v>
      </c>
      <c r="U4" s="284">
        <v>25729545</v>
      </c>
      <c r="V4" s="284">
        <v>25729545</v>
      </c>
      <c r="W4" s="284">
        <v>5929200</v>
      </c>
      <c r="X4" s="284">
        <v>5929200</v>
      </c>
      <c r="Y4" s="284">
        <v>5929200</v>
      </c>
      <c r="Z4" s="284">
        <v>5929000</v>
      </c>
      <c r="AA4" s="284">
        <v>0</v>
      </c>
      <c r="AB4" s="284">
        <v>0</v>
      </c>
      <c r="AC4" s="284">
        <v>0</v>
      </c>
      <c r="AD4" s="284">
        <v>0</v>
      </c>
      <c r="AE4" s="284">
        <v>0</v>
      </c>
      <c r="AF4" s="284">
        <v>0</v>
      </c>
      <c r="AG4" s="284">
        <v>0</v>
      </c>
      <c r="AH4" s="284">
        <v>0</v>
      </c>
      <c r="AI4" s="284">
        <v>0</v>
      </c>
      <c r="AJ4" s="284">
        <v>0</v>
      </c>
      <c r="AK4" s="284">
        <v>0</v>
      </c>
      <c r="AL4" s="284">
        <v>0</v>
      </c>
      <c r="AM4" s="284">
        <v>0</v>
      </c>
      <c r="AN4" s="284">
        <v>0</v>
      </c>
      <c r="AO4" s="284">
        <v>0</v>
      </c>
      <c r="AP4" s="284">
        <v>0</v>
      </c>
      <c r="AQ4" s="284">
        <v>0</v>
      </c>
      <c r="AR4" s="284">
        <v>0</v>
      </c>
      <c r="AS4" s="284">
        <v>0</v>
      </c>
      <c r="AT4" s="284">
        <v>0</v>
      </c>
      <c r="AU4" s="284">
        <v>0</v>
      </c>
      <c r="AV4" s="284">
        <v>0</v>
      </c>
      <c r="AW4" s="284">
        <v>0</v>
      </c>
      <c r="AX4" s="284">
        <v>0</v>
      </c>
      <c r="AY4" s="284">
        <v>0</v>
      </c>
      <c r="AZ4" s="284">
        <v>0</v>
      </c>
      <c r="BA4" s="284">
        <v>0</v>
      </c>
      <c r="BB4" s="284">
        <v>0</v>
      </c>
      <c r="BC4" s="284">
        <v>0</v>
      </c>
      <c r="BD4" s="284">
        <v>0</v>
      </c>
      <c r="BE4" s="284">
        <v>0</v>
      </c>
      <c r="BF4" s="284">
        <v>0</v>
      </c>
      <c r="BG4" s="284">
        <v>0</v>
      </c>
      <c r="BH4" s="284">
        <v>0</v>
      </c>
      <c r="BI4" s="284">
        <v>0</v>
      </c>
      <c r="BJ4" s="284">
        <v>0</v>
      </c>
      <c r="BK4" s="284">
        <v>0</v>
      </c>
      <c r="BL4" s="284">
        <v>0</v>
      </c>
      <c r="BM4" s="284">
        <v>0</v>
      </c>
      <c r="BN4" s="284">
        <v>0</v>
      </c>
      <c r="BO4" s="284">
        <v>0</v>
      </c>
      <c r="BP4" s="284">
        <v>0</v>
      </c>
      <c r="BQ4" s="284">
        <v>0</v>
      </c>
      <c r="BR4" s="284">
        <v>0</v>
      </c>
      <c r="BS4" s="284">
        <v>0</v>
      </c>
      <c r="BT4" s="284">
        <v>0</v>
      </c>
      <c r="BU4" s="284">
        <v>0</v>
      </c>
      <c r="BV4" s="284">
        <v>0</v>
      </c>
      <c r="BW4" s="284">
        <v>0</v>
      </c>
      <c r="BX4" s="284">
        <v>0</v>
      </c>
      <c r="BY4" s="284">
        <v>0</v>
      </c>
      <c r="BZ4" s="284">
        <v>0</v>
      </c>
      <c r="CA4" s="284">
        <v>0</v>
      </c>
      <c r="CB4" s="284">
        <v>0</v>
      </c>
      <c r="CC4" s="284">
        <v>0</v>
      </c>
      <c r="CD4" s="284">
        <v>0</v>
      </c>
      <c r="CE4" s="284">
        <v>0</v>
      </c>
      <c r="CF4" s="284">
        <v>0</v>
      </c>
      <c r="CG4" s="284">
        <v>0</v>
      </c>
      <c r="CH4" s="284">
        <v>0</v>
      </c>
      <c r="CI4" s="284">
        <v>0</v>
      </c>
      <c r="CJ4" s="284">
        <v>0</v>
      </c>
      <c r="CK4" s="284">
        <v>0</v>
      </c>
      <c r="CL4" s="284">
        <v>0</v>
      </c>
      <c r="CM4" s="284">
        <v>0</v>
      </c>
      <c r="CN4" s="284">
        <v>0</v>
      </c>
      <c r="CO4" s="284">
        <v>0</v>
      </c>
      <c r="CP4" s="284">
        <v>0</v>
      </c>
      <c r="CQ4" s="284">
        <v>0</v>
      </c>
      <c r="CR4" s="284">
        <v>0</v>
      </c>
      <c r="CS4" s="284">
        <v>0</v>
      </c>
      <c r="CT4" s="284">
        <v>0</v>
      </c>
      <c r="CU4" s="284">
        <v>0</v>
      </c>
      <c r="CV4" s="284">
        <v>0</v>
      </c>
      <c r="CW4" s="284">
        <v>0</v>
      </c>
      <c r="CX4" s="284">
        <v>0</v>
      </c>
      <c r="CY4" s="284">
        <v>0</v>
      </c>
      <c r="CZ4" s="284">
        <v>0</v>
      </c>
      <c r="DA4" s="284">
        <v>0</v>
      </c>
      <c r="DB4" s="284">
        <v>0</v>
      </c>
      <c r="DC4" s="284">
        <v>0</v>
      </c>
      <c r="DD4" s="284">
        <v>0</v>
      </c>
      <c r="DE4" s="284">
        <v>0</v>
      </c>
      <c r="DF4" s="284">
        <v>0</v>
      </c>
      <c r="DG4" s="284">
        <v>0</v>
      </c>
      <c r="DH4" s="284">
        <v>0</v>
      </c>
      <c r="DI4" s="284">
        <v>0</v>
      </c>
      <c r="DJ4" s="284">
        <v>0</v>
      </c>
      <c r="DK4" s="284">
        <v>0</v>
      </c>
      <c r="DL4" s="284">
        <v>0</v>
      </c>
      <c r="DM4" s="284">
        <v>0</v>
      </c>
      <c r="DN4" s="284">
        <v>0</v>
      </c>
      <c r="DO4" s="284">
        <v>0</v>
      </c>
      <c r="DP4" s="284">
        <v>0</v>
      </c>
      <c r="DQ4" s="284">
        <v>0</v>
      </c>
      <c r="DR4" s="284">
        <v>0</v>
      </c>
      <c r="DS4" s="284">
        <v>2022</v>
      </c>
      <c r="DT4" s="284">
        <v>7</v>
      </c>
      <c r="DU4" s="284">
        <v>27</v>
      </c>
      <c r="DV4" s="284" t="s">
        <v>677</v>
      </c>
      <c r="DW4" s="284" t="s">
        <v>678</v>
      </c>
      <c r="DX4" s="284" t="s">
        <v>679</v>
      </c>
    </row>
    <row r="5" spans="1:128">
      <c r="A5" s="284">
        <v>2</v>
      </c>
      <c r="B5" s="284">
        <v>5424000</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c r="BT5" s="284"/>
      <c r="BU5" s="284"/>
      <c r="BV5" s="284"/>
      <c r="BW5" s="284"/>
      <c r="BX5" s="284"/>
      <c r="BY5" s="284"/>
      <c r="BZ5" s="284"/>
      <c r="CA5" s="284"/>
      <c r="CB5" s="284"/>
      <c r="CC5" s="284"/>
      <c r="CD5" s="284"/>
      <c r="CE5" s="284"/>
      <c r="CF5" s="284"/>
      <c r="CG5" s="284"/>
      <c r="CH5" s="284"/>
      <c r="CI5" s="284"/>
      <c r="CJ5" s="284"/>
      <c r="CK5" s="284"/>
      <c r="CL5" s="284"/>
      <c r="CM5" s="284"/>
      <c r="CN5" s="284"/>
      <c r="CO5" s="284"/>
      <c r="CP5" s="284"/>
      <c r="CQ5" s="284"/>
      <c r="CR5" s="284"/>
      <c r="CS5" s="284"/>
      <c r="CT5" s="284"/>
      <c r="CU5" s="284"/>
      <c r="CV5" s="284"/>
      <c r="CW5" s="284"/>
      <c r="CX5" s="284"/>
      <c r="CY5" s="284"/>
      <c r="CZ5" s="284"/>
      <c r="DA5" s="284"/>
      <c r="DB5" s="284"/>
      <c r="DC5" s="284"/>
      <c r="DD5" s="284"/>
      <c r="DE5" s="284"/>
      <c r="DF5" s="284"/>
      <c r="DG5" s="284"/>
      <c r="DH5" s="284"/>
      <c r="DI5" s="284"/>
      <c r="DJ5" s="284"/>
      <c r="DK5" s="284"/>
      <c r="DL5" s="284"/>
      <c r="DM5" s="284"/>
      <c r="DN5" s="284"/>
      <c r="DO5" s="284"/>
      <c r="DP5" s="284"/>
      <c r="DQ5" s="284"/>
      <c r="DR5" s="284"/>
      <c r="DS5" s="284">
        <v>2022</v>
      </c>
      <c r="DT5" s="284">
        <v>9</v>
      </c>
      <c r="DU5" s="284">
        <v>22</v>
      </c>
      <c r="DV5" s="284" t="s">
        <v>680</v>
      </c>
      <c r="DW5" s="284" t="s">
        <v>681</v>
      </c>
      <c r="DX5" s="284" t="s">
        <v>679</v>
      </c>
    </row>
    <row r="6" spans="1:128">
      <c r="A6" s="284">
        <v>3</v>
      </c>
      <c r="B6" s="284">
        <v>5429000</v>
      </c>
      <c r="C6" s="284">
        <v>0</v>
      </c>
      <c r="D6" s="284">
        <v>0</v>
      </c>
      <c r="E6" s="284">
        <v>0</v>
      </c>
      <c r="F6" s="284">
        <v>0</v>
      </c>
      <c r="G6" s="284">
        <v>0</v>
      </c>
      <c r="H6" s="284">
        <v>0</v>
      </c>
      <c r="I6" s="284">
        <v>0</v>
      </c>
      <c r="J6" s="284">
        <v>0</v>
      </c>
      <c r="K6" s="284">
        <v>0</v>
      </c>
      <c r="L6" s="284">
        <v>0</v>
      </c>
      <c r="M6" s="284">
        <v>0</v>
      </c>
      <c r="N6" s="284">
        <v>0</v>
      </c>
      <c r="O6" s="284">
        <v>0</v>
      </c>
      <c r="P6" s="284">
        <v>0</v>
      </c>
      <c r="Q6" s="284">
        <v>0</v>
      </c>
      <c r="R6" s="284">
        <v>0</v>
      </c>
      <c r="S6" s="284">
        <v>5429336</v>
      </c>
      <c r="T6" s="284">
        <v>0</v>
      </c>
      <c r="U6" s="284">
        <v>5429336</v>
      </c>
      <c r="V6" s="284">
        <v>5429336</v>
      </c>
      <c r="W6" s="284">
        <v>11858400</v>
      </c>
      <c r="X6" s="284">
        <v>5429336</v>
      </c>
      <c r="Y6" s="284">
        <v>5429336</v>
      </c>
      <c r="Z6" s="284">
        <v>5429000</v>
      </c>
      <c r="AA6" s="284">
        <v>0</v>
      </c>
      <c r="AB6" s="284">
        <v>0</v>
      </c>
      <c r="AC6" s="284">
        <v>0</v>
      </c>
      <c r="AD6" s="284">
        <v>0</v>
      </c>
      <c r="AE6" s="284">
        <v>0</v>
      </c>
      <c r="AF6" s="284">
        <v>0</v>
      </c>
      <c r="AG6" s="284">
        <v>0</v>
      </c>
      <c r="AH6" s="284">
        <v>0</v>
      </c>
      <c r="AI6" s="284">
        <v>0</v>
      </c>
      <c r="AJ6" s="284">
        <v>0</v>
      </c>
      <c r="AK6" s="284">
        <v>0</v>
      </c>
      <c r="AL6" s="284">
        <v>0</v>
      </c>
      <c r="AM6" s="284">
        <v>0</v>
      </c>
      <c r="AN6" s="284">
        <v>0</v>
      </c>
      <c r="AO6" s="284">
        <v>0</v>
      </c>
      <c r="AP6" s="284">
        <v>0</v>
      </c>
      <c r="AQ6" s="284">
        <v>0</v>
      </c>
      <c r="AR6" s="284">
        <v>0</v>
      </c>
      <c r="AS6" s="284">
        <v>0</v>
      </c>
      <c r="AT6" s="284">
        <v>0</v>
      </c>
      <c r="AU6" s="284">
        <v>0</v>
      </c>
      <c r="AV6" s="284">
        <v>0</v>
      </c>
      <c r="AW6" s="284">
        <v>0</v>
      </c>
      <c r="AX6" s="284">
        <v>0</v>
      </c>
      <c r="AY6" s="284">
        <v>0</v>
      </c>
      <c r="AZ6" s="284">
        <v>0</v>
      </c>
      <c r="BA6" s="284">
        <v>0</v>
      </c>
      <c r="BB6" s="284">
        <v>0</v>
      </c>
      <c r="BC6" s="284">
        <v>0</v>
      </c>
      <c r="BD6" s="284">
        <v>0</v>
      </c>
      <c r="BE6" s="284">
        <v>0</v>
      </c>
      <c r="BF6" s="284">
        <v>0</v>
      </c>
      <c r="BG6" s="284">
        <v>0</v>
      </c>
      <c r="BH6" s="284">
        <v>0</v>
      </c>
      <c r="BI6" s="284">
        <v>0</v>
      </c>
      <c r="BJ6" s="284">
        <v>0</v>
      </c>
      <c r="BK6" s="284">
        <v>0</v>
      </c>
      <c r="BL6" s="284">
        <v>0</v>
      </c>
      <c r="BM6" s="284">
        <v>0</v>
      </c>
      <c r="BN6" s="284">
        <v>0</v>
      </c>
      <c r="BO6" s="284">
        <v>0</v>
      </c>
      <c r="BP6" s="284">
        <v>0</v>
      </c>
      <c r="BQ6" s="284">
        <v>0</v>
      </c>
      <c r="BR6" s="284">
        <v>0</v>
      </c>
      <c r="BS6" s="284">
        <v>0</v>
      </c>
      <c r="BT6" s="284">
        <v>0</v>
      </c>
      <c r="BU6" s="284">
        <v>0</v>
      </c>
      <c r="BV6" s="284">
        <v>0</v>
      </c>
      <c r="BW6" s="284">
        <v>0</v>
      </c>
      <c r="BX6" s="284">
        <v>0</v>
      </c>
      <c r="BY6" s="284">
        <v>0</v>
      </c>
      <c r="BZ6" s="284">
        <v>0</v>
      </c>
      <c r="CA6" s="284">
        <v>0</v>
      </c>
      <c r="CB6" s="284">
        <v>0</v>
      </c>
      <c r="CC6" s="284">
        <v>0</v>
      </c>
      <c r="CD6" s="284">
        <v>0</v>
      </c>
      <c r="CE6" s="284">
        <v>0</v>
      </c>
      <c r="CF6" s="284">
        <v>0</v>
      </c>
      <c r="CG6" s="284">
        <v>0</v>
      </c>
      <c r="CH6" s="284">
        <v>0</v>
      </c>
      <c r="CI6" s="284">
        <v>0</v>
      </c>
      <c r="CJ6" s="284">
        <v>0</v>
      </c>
      <c r="CK6" s="284">
        <v>0</v>
      </c>
      <c r="CL6" s="284">
        <v>0</v>
      </c>
      <c r="CM6" s="284">
        <v>0</v>
      </c>
      <c r="CN6" s="284">
        <v>0</v>
      </c>
      <c r="CO6" s="284">
        <v>0</v>
      </c>
      <c r="CP6" s="284">
        <v>0</v>
      </c>
      <c r="CQ6" s="284">
        <v>0</v>
      </c>
      <c r="CR6" s="284">
        <v>0</v>
      </c>
      <c r="CS6" s="284">
        <v>0</v>
      </c>
      <c r="CT6" s="284">
        <v>0</v>
      </c>
      <c r="CU6" s="284">
        <v>0</v>
      </c>
      <c r="CV6" s="284">
        <v>0</v>
      </c>
      <c r="CW6" s="284">
        <v>0</v>
      </c>
      <c r="CX6" s="284">
        <v>0</v>
      </c>
      <c r="CY6" s="284">
        <v>0</v>
      </c>
      <c r="CZ6" s="284">
        <v>0</v>
      </c>
      <c r="DA6" s="284">
        <v>0</v>
      </c>
      <c r="DB6" s="284">
        <v>0</v>
      </c>
      <c r="DC6" s="284">
        <v>0</v>
      </c>
      <c r="DD6" s="284">
        <v>0</v>
      </c>
      <c r="DE6" s="284">
        <v>0</v>
      </c>
      <c r="DF6" s="284">
        <v>0</v>
      </c>
      <c r="DG6" s="284">
        <v>0</v>
      </c>
      <c r="DH6" s="284">
        <v>0</v>
      </c>
      <c r="DI6" s="284">
        <v>0</v>
      </c>
      <c r="DJ6" s="284">
        <v>0</v>
      </c>
      <c r="DK6" s="284">
        <v>0</v>
      </c>
      <c r="DL6" s="284">
        <v>0</v>
      </c>
      <c r="DM6" s="284">
        <v>0</v>
      </c>
      <c r="DN6" s="284">
        <v>0</v>
      </c>
      <c r="DO6" s="284">
        <v>0</v>
      </c>
      <c r="DP6" s="284">
        <v>0</v>
      </c>
      <c r="DQ6" s="284">
        <v>0</v>
      </c>
      <c r="DR6" s="284">
        <v>0</v>
      </c>
      <c r="DS6" s="284">
        <v>2022</v>
      </c>
      <c r="DT6" s="284">
        <v>7</v>
      </c>
      <c r="DU6" s="284">
        <v>27</v>
      </c>
      <c r="DV6" s="284" t="s">
        <v>682</v>
      </c>
      <c r="DW6" s="284" t="s">
        <v>683</v>
      </c>
      <c r="DX6" s="284" t="s">
        <v>679</v>
      </c>
    </row>
    <row r="7" spans="1:128">
      <c r="A7" s="284">
        <v>4</v>
      </c>
      <c r="B7" s="284">
        <v>1328000</v>
      </c>
      <c r="C7" s="284">
        <v>0</v>
      </c>
      <c r="D7" s="284">
        <v>0</v>
      </c>
      <c r="E7" s="284">
        <v>0</v>
      </c>
      <c r="F7" s="284">
        <v>0</v>
      </c>
      <c r="G7" s="284">
        <v>0</v>
      </c>
      <c r="H7" s="284">
        <v>0</v>
      </c>
      <c r="I7" s="284">
        <v>0</v>
      </c>
      <c r="J7" s="284">
        <v>0</v>
      </c>
      <c r="K7" s="284">
        <v>0</v>
      </c>
      <c r="L7" s="284">
        <v>0</v>
      </c>
      <c r="M7" s="284">
        <v>0</v>
      </c>
      <c r="N7" s="284">
        <v>0</v>
      </c>
      <c r="O7" s="284">
        <v>0</v>
      </c>
      <c r="P7" s="284">
        <v>0</v>
      </c>
      <c r="Q7" s="284">
        <v>0</v>
      </c>
      <c r="R7" s="284">
        <v>0</v>
      </c>
      <c r="S7" s="284">
        <v>2868947.4</v>
      </c>
      <c r="T7" s="284">
        <v>0</v>
      </c>
      <c r="U7" s="284">
        <v>2868947.4</v>
      </c>
      <c r="V7" s="284">
        <v>2868947.4</v>
      </c>
      <c r="W7" s="284">
        <v>1328400</v>
      </c>
      <c r="X7" s="284">
        <v>1328400</v>
      </c>
      <c r="Y7" s="284">
        <v>1328400</v>
      </c>
      <c r="Z7" s="284">
        <v>1328000</v>
      </c>
      <c r="AA7" s="284">
        <v>0</v>
      </c>
      <c r="AB7" s="284">
        <v>0</v>
      </c>
      <c r="AC7" s="284">
        <v>0</v>
      </c>
      <c r="AD7" s="284">
        <v>0</v>
      </c>
      <c r="AE7" s="284">
        <v>0</v>
      </c>
      <c r="AF7" s="284">
        <v>0</v>
      </c>
      <c r="AG7" s="284">
        <v>0</v>
      </c>
      <c r="AH7" s="284">
        <v>0</v>
      </c>
      <c r="AI7" s="284">
        <v>0</v>
      </c>
      <c r="AJ7" s="284">
        <v>0</v>
      </c>
      <c r="AK7" s="284">
        <v>0</v>
      </c>
      <c r="AL7" s="284">
        <v>0</v>
      </c>
      <c r="AM7" s="284">
        <v>0</v>
      </c>
      <c r="AN7" s="284">
        <v>0</v>
      </c>
      <c r="AO7" s="284">
        <v>0</v>
      </c>
      <c r="AP7" s="284">
        <v>0</v>
      </c>
      <c r="AQ7" s="284">
        <v>0</v>
      </c>
      <c r="AR7" s="284">
        <v>0</v>
      </c>
      <c r="AS7" s="284">
        <v>0</v>
      </c>
      <c r="AT7" s="284">
        <v>0</v>
      </c>
      <c r="AU7" s="284">
        <v>0</v>
      </c>
      <c r="AV7" s="284">
        <v>0</v>
      </c>
      <c r="AW7" s="284">
        <v>0</v>
      </c>
      <c r="AX7" s="284">
        <v>0</v>
      </c>
      <c r="AY7" s="284">
        <v>0</v>
      </c>
      <c r="AZ7" s="284">
        <v>0</v>
      </c>
      <c r="BA7" s="284">
        <v>0</v>
      </c>
      <c r="BB7" s="284">
        <v>0</v>
      </c>
      <c r="BC7" s="284">
        <v>0</v>
      </c>
      <c r="BD7" s="284">
        <v>0</v>
      </c>
      <c r="BE7" s="284">
        <v>0</v>
      </c>
      <c r="BF7" s="284">
        <v>0</v>
      </c>
      <c r="BG7" s="284">
        <v>0</v>
      </c>
      <c r="BH7" s="284">
        <v>0</v>
      </c>
      <c r="BI7" s="284">
        <v>0</v>
      </c>
      <c r="BJ7" s="284">
        <v>0</v>
      </c>
      <c r="BK7" s="284">
        <v>0</v>
      </c>
      <c r="BL7" s="284">
        <v>0</v>
      </c>
      <c r="BM7" s="284">
        <v>0</v>
      </c>
      <c r="BN7" s="284">
        <v>0</v>
      </c>
      <c r="BO7" s="284">
        <v>0</v>
      </c>
      <c r="BP7" s="284">
        <v>0</v>
      </c>
      <c r="BQ7" s="284">
        <v>0</v>
      </c>
      <c r="BR7" s="284">
        <v>0</v>
      </c>
      <c r="BS7" s="284">
        <v>0</v>
      </c>
      <c r="BT7" s="284">
        <v>0</v>
      </c>
      <c r="BU7" s="284">
        <v>0</v>
      </c>
      <c r="BV7" s="284">
        <v>0</v>
      </c>
      <c r="BW7" s="284">
        <v>0</v>
      </c>
      <c r="BX7" s="284">
        <v>0</v>
      </c>
      <c r="BY7" s="284">
        <v>0</v>
      </c>
      <c r="BZ7" s="284">
        <v>0</v>
      </c>
      <c r="CA7" s="284">
        <v>0</v>
      </c>
      <c r="CB7" s="284">
        <v>0</v>
      </c>
      <c r="CC7" s="284">
        <v>0</v>
      </c>
      <c r="CD7" s="284">
        <v>0</v>
      </c>
      <c r="CE7" s="284">
        <v>0</v>
      </c>
      <c r="CF7" s="284">
        <v>0</v>
      </c>
      <c r="CG7" s="284">
        <v>0</v>
      </c>
      <c r="CH7" s="284">
        <v>0</v>
      </c>
      <c r="CI7" s="284">
        <v>0</v>
      </c>
      <c r="CJ7" s="284">
        <v>0</v>
      </c>
      <c r="CK7" s="284">
        <v>0</v>
      </c>
      <c r="CL7" s="284">
        <v>0</v>
      </c>
      <c r="CM7" s="284">
        <v>0</v>
      </c>
      <c r="CN7" s="284">
        <v>0</v>
      </c>
      <c r="CO7" s="284">
        <v>0</v>
      </c>
      <c r="CP7" s="284">
        <v>0</v>
      </c>
      <c r="CQ7" s="284">
        <v>0</v>
      </c>
      <c r="CR7" s="284">
        <v>0</v>
      </c>
      <c r="CS7" s="284">
        <v>0</v>
      </c>
      <c r="CT7" s="284">
        <v>0</v>
      </c>
      <c r="CU7" s="284">
        <v>0</v>
      </c>
      <c r="CV7" s="284">
        <v>0</v>
      </c>
      <c r="CW7" s="284">
        <v>0</v>
      </c>
      <c r="CX7" s="284">
        <v>0</v>
      </c>
      <c r="CY7" s="284">
        <v>0</v>
      </c>
      <c r="CZ7" s="284">
        <v>0</v>
      </c>
      <c r="DA7" s="284">
        <v>0</v>
      </c>
      <c r="DB7" s="284">
        <v>0</v>
      </c>
      <c r="DC7" s="284">
        <v>0</v>
      </c>
      <c r="DD7" s="284">
        <v>0</v>
      </c>
      <c r="DE7" s="284">
        <v>0</v>
      </c>
      <c r="DF7" s="284">
        <v>0</v>
      </c>
      <c r="DG7" s="284">
        <v>0</v>
      </c>
      <c r="DH7" s="284">
        <v>0</v>
      </c>
      <c r="DI7" s="284">
        <v>0</v>
      </c>
      <c r="DJ7" s="284">
        <v>0</v>
      </c>
      <c r="DK7" s="284">
        <v>0</v>
      </c>
      <c r="DL7" s="284">
        <v>0</v>
      </c>
      <c r="DM7" s="284">
        <v>0</v>
      </c>
      <c r="DN7" s="284">
        <v>0</v>
      </c>
      <c r="DO7" s="284">
        <v>0</v>
      </c>
      <c r="DP7" s="284">
        <v>0</v>
      </c>
      <c r="DQ7" s="284">
        <v>0</v>
      </c>
      <c r="DR7" s="284">
        <v>0</v>
      </c>
      <c r="DS7" s="284">
        <v>2022</v>
      </c>
      <c r="DT7" s="284">
        <v>7</v>
      </c>
      <c r="DU7" s="284">
        <v>27</v>
      </c>
      <c r="DV7" s="284" t="s">
        <v>684</v>
      </c>
      <c r="DW7" s="284" t="s">
        <v>685</v>
      </c>
      <c r="DX7" s="284" t="s">
        <v>679</v>
      </c>
    </row>
    <row r="8" spans="1:128">
      <c r="A8" s="284">
        <v>6</v>
      </c>
      <c r="B8" s="284">
        <v>2160000</v>
      </c>
      <c r="C8" s="284">
        <v>0</v>
      </c>
      <c r="D8" s="284">
        <v>0</v>
      </c>
      <c r="E8" s="284">
        <v>0</v>
      </c>
      <c r="F8" s="284">
        <v>0</v>
      </c>
      <c r="G8" s="284">
        <v>0</v>
      </c>
      <c r="H8" s="284">
        <v>0</v>
      </c>
      <c r="I8" s="284">
        <v>0</v>
      </c>
      <c r="J8" s="284">
        <v>0</v>
      </c>
      <c r="K8" s="284">
        <v>0</v>
      </c>
      <c r="L8" s="284">
        <v>0</v>
      </c>
      <c r="M8" s="284">
        <v>0</v>
      </c>
      <c r="N8" s="284">
        <v>0</v>
      </c>
      <c r="O8" s="284">
        <v>0</v>
      </c>
      <c r="P8" s="284">
        <v>0</v>
      </c>
      <c r="Q8" s="284">
        <v>0</v>
      </c>
      <c r="R8" s="284">
        <v>0</v>
      </c>
      <c r="S8" s="284">
        <v>2160430</v>
      </c>
      <c r="T8" s="284">
        <v>0</v>
      </c>
      <c r="U8" s="284">
        <v>2160430</v>
      </c>
      <c r="V8" s="284">
        <v>2160430</v>
      </c>
      <c r="W8" s="284">
        <v>10540800</v>
      </c>
      <c r="X8" s="284">
        <v>2160430</v>
      </c>
      <c r="Y8" s="284">
        <v>2160430</v>
      </c>
      <c r="Z8" s="284">
        <v>2160000</v>
      </c>
      <c r="AA8" s="284">
        <v>0</v>
      </c>
      <c r="AB8" s="284">
        <v>0</v>
      </c>
      <c r="AC8" s="284">
        <v>0</v>
      </c>
      <c r="AD8" s="284">
        <v>0</v>
      </c>
      <c r="AE8" s="284">
        <v>0</v>
      </c>
      <c r="AF8" s="284">
        <v>0</v>
      </c>
      <c r="AG8" s="284">
        <v>0</v>
      </c>
      <c r="AH8" s="284">
        <v>0</v>
      </c>
      <c r="AI8" s="284">
        <v>0</v>
      </c>
      <c r="AJ8" s="284">
        <v>0</v>
      </c>
      <c r="AK8" s="284">
        <v>0</v>
      </c>
      <c r="AL8" s="284">
        <v>0</v>
      </c>
      <c r="AM8" s="284">
        <v>0</v>
      </c>
      <c r="AN8" s="284">
        <v>0</v>
      </c>
      <c r="AO8" s="284">
        <v>0</v>
      </c>
      <c r="AP8" s="284">
        <v>0</v>
      </c>
      <c r="AQ8" s="284">
        <v>0</v>
      </c>
      <c r="AR8" s="284">
        <v>0</v>
      </c>
      <c r="AS8" s="284">
        <v>0</v>
      </c>
      <c r="AT8" s="284">
        <v>0</v>
      </c>
      <c r="AU8" s="284">
        <v>0</v>
      </c>
      <c r="AV8" s="284">
        <v>0</v>
      </c>
      <c r="AW8" s="284">
        <v>0</v>
      </c>
      <c r="AX8" s="284">
        <v>0</v>
      </c>
      <c r="AY8" s="284">
        <v>0</v>
      </c>
      <c r="AZ8" s="284">
        <v>0</v>
      </c>
      <c r="BA8" s="284">
        <v>0</v>
      </c>
      <c r="BB8" s="284">
        <v>0</v>
      </c>
      <c r="BC8" s="284">
        <v>0</v>
      </c>
      <c r="BD8" s="284">
        <v>0</v>
      </c>
      <c r="BE8" s="284">
        <v>0</v>
      </c>
      <c r="BF8" s="284">
        <v>0</v>
      </c>
      <c r="BG8" s="284">
        <v>0</v>
      </c>
      <c r="BH8" s="284">
        <v>0</v>
      </c>
      <c r="BI8" s="284">
        <v>0</v>
      </c>
      <c r="BJ8" s="284">
        <v>0</v>
      </c>
      <c r="BK8" s="284">
        <v>0</v>
      </c>
      <c r="BL8" s="284">
        <v>0</v>
      </c>
      <c r="BM8" s="284">
        <v>0</v>
      </c>
      <c r="BN8" s="284">
        <v>0</v>
      </c>
      <c r="BO8" s="284">
        <v>0</v>
      </c>
      <c r="BP8" s="284">
        <v>0</v>
      </c>
      <c r="BQ8" s="284">
        <v>0</v>
      </c>
      <c r="BR8" s="284">
        <v>0</v>
      </c>
      <c r="BS8" s="284">
        <v>0</v>
      </c>
      <c r="BT8" s="284">
        <v>0</v>
      </c>
      <c r="BU8" s="284">
        <v>0</v>
      </c>
      <c r="BV8" s="284">
        <v>0</v>
      </c>
      <c r="BW8" s="284">
        <v>0</v>
      </c>
      <c r="BX8" s="284">
        <v>0</v>
      </c>
      <c r="BY8" s="284">
        <v>0</v>
      </c>
      <c r="BZ8" s="284">
        <v>0</v>
      </c>
      <c r="CA8" s="284">
        <v>0</v>
      </c>
      <c r="CB8" s="284">
        <v>0</v>
      </c>
      <c r="CC8" s="284">
        <v>0</v>
      </c>
      <c r="CD8" s="284">
        <v>0</v>
      </c>
      <c r="CE8" s="284">
        <v>0</v>
      </c>
      <c r="CF8" s="284">
        <v>0</v>
      </c>
      <c r="CG8" s="284">
        <v>0</v>
      </c>
      <c r="CH8" s="284">
        <v>0</v>
      </c>
      <c r="CI8" s="284">
        <v>0</v>
      </c>
      <c r="CJ8" s="284">
        <v>0</v>
      </c>
      <c r="CK8" s="284">
        <v>0</v>
      </c>
      <c r="CL8" s="284">
        <v>0</v>
      </c>
      <c r="CM8" s="284">
        <v>0</v>
      </c>
      <c r="CN8" s="284">
        <v>0</v>
      </c>
      <c r="CO8" s="284">
        <v>0</v>
      </c>
      <c r="CP8" s="284">
        <v>0</v>
      </c>
      <c r="CQ8" s="284">
        <v>0</v>
      </c>
      <c r="CR8" s="284">
        <v>0</v>
      </c>
      <c r="CS8" s="284">
        <v>0</v>
      </c>
      <c r="CT8" s="284">
        <v>0</v>
      </c>
      <c r="CU8" s="284">
        <v>0</v>
      </c>
      <c r="CV8" s="284">
        <v>0</v>
      </c>
      <c r="CW8" s="284">
        <v>0</v>
      </c>
      <c r="CX8" s="284">
        <v>0</v>
      </c>
      <c r="CY8" s="284">
        <v>0</v>
      </c>
      <c r="CZ8" s="284">
        <v>0</v>
      </c>
      <c r="DA8" s="284">
        <v>0</v>
      </c>
      <c r="DB8" s="284">
        <v>0</v>
      </c>
      <c r="DC8" s="284">
        <v>0</v>
      </c>
      <c r="DD8" s="284">
        <v>0</v>
      </c>
      <c r="DE8" s="284">
        <v>0</v>
      </c>
      <c r="DF8" s="284">
        <v>0</v>
      </c>
      <c r="DG8" s="284">
        <v>0</v>
      </c>
      <c r="DH8" s="284">
        <v>0</v>
      </c>
      <c r="DI8" s="284">
        <v>0</v>
      </c>
      <c r="DJ8" s="284">
        <v>0</v>
      </c>
      <c r="DK8" s="284">
        <v>0</v>
      </c>
      <c r="DL8" s="284">
        <v>0</v>
      </c>
      <c r="DM8" s="284">
        <v>0</v>
      </c>
      <c r="DN8" s="284">
        <v>0</v>
      </c>
      <c r="DO8" s="284">
        <v>0</v>
      </c>
      <c r="DP8" s="284">
        <v>0</v>
      </c>
      <c r="DQ8" s="284">
        <v>0</v>
      </c>
      <c r="DR8" s="284">
        <v>0</v>
      </c>
      <c r="DS8" s="284">
        <v>2022</v>
      </c>
      <c r="DT8" s="284">
        <v>7</v>
      </c>
      <c r="DU8" s="284">
        <v>27</v>
      </c>
      <c r="DV8" s="284" t="s">
        <v>686</v>
      </c>
      <c r="DW8" s="284" t="s">
        <v>687</v>
      </c>
      <c r="DX8" s="284" t="s">
        <v>679</v>
      </c>
    </row>
    <row r="9" spans="1:128">
      <c r="A9" s="284">
        <v>7</v>
      </c>
      <c r="B9" s="284">
        <v>4073000</v>
      </c>
      <c r="C9" s="284">
        <v>0</v>
      </c>
      <c r="D9" s="284">
        <v>0</v>
      </c>
      <c r="E9" s="284">
        <v>0</v>
      </c>
      <c r="F9" s="284">
        <v>0</v>
      </c>
      <c r="G9" s="284">
        <v>0</v>
      </c>
      <c r="H9" s="284">
        <v>0</v>
      </c>
      <c r="I9" s="284">
        <v>0</v>
      </c>
      <c r="J9" s="284">
        <v>0</v>
      </c>
      <c r="K9" s="284">
        <v>0</v>
      </c>
      <c r="L9" s="284">
        <v>0</v>
      </c>
      <c r="M9" s="284">
        <v>0</v>
      </c>
      <c r="N9" s="284">
        <v>0</v>
      </c>
      <c r="O9" s="284">
        <v>0</v>
      </c>
      <c r="P9" s="284">
        <v>0</v>
      </c>
      <c r="Q9" s="284">
        <v>0</v>
      </c>
      <c r="R9" s="284">
        <v>0</v>
      </c>
      <c r="S9" s="284">
        <v>4073778</v>
      </c>
      <c r="T9" s="284">
        <v>0</v>
      </c>
      <c r="U9" s="284">
        <v>4073778</v>
      </c>
      <c r="V9" s="284">
        <v>4073778</v>
      </c>
      <c r="W9" s="284">
        <v>24375600</v>
      </c>
      <c r="X9" s="284">
        <v>4073778</v>
      </c>
      <c r="Y9" s="284">
        <v>4073778</v>
      </c>
      <c r="Z9" s="284">
        <v>4073000</v>
      </c>
      <c r="AA9" s="284">
        <v>0</v>
      </c>
      <c r="AB9" s="284">
        <v>0</v>
      </c>
      <c r="AC9" s="284">
        <v>0</v>
      </c>
      <c r="AD9" s="284">
        <v>0</v>
      </c>
      <c r="AE9" s="284">
        <v>0</v>
      </c>
      <c r="AF9" s="284">
        <v>0</v>
      </c>
      <c r="AG9" s="284">
        <v>0</v>
      </c>
      <c r="AH9" s="284">
        <v>0</v>
      </c>
      <c r="AI9" s="284">
        <v>0</v>
      </c>
      <c r="AJ9" s="284">
        <v>0</v>
      </c>
      <c r="AK9" s="284">
        <v>0</v>
      </c>
      <c r="AL9" s="284">
        <v>0</v>
      </c>
      <c r="AM9" s="284">
        <v>0</v>
      </c>
      <c r="AN9" s="284">
        <v>0</v>
      </c>
      <c r="AO9" s="284">
        <v>0</v>
      </c>
      <c r="AP9" s="284">
        <v>0</v>
      </c>
      <c r="AQ9" s="284">
        <v>0</v>
      </c>
      <c r="AR9" s="284">
        <v>0</v>
      </c>
      <c r="AS9" s="284">
        <v>0</v>
      </c>
      <c r="AT9" s="284">
        <v>0</v>
      </c>
      <c r="AU9" s="284">
        <v>0</v>
      </c>
      <c r="AV9" s="284">
        <v>0</v>
      </c>
      <c r="AW9" s="284">
        <v>0</v>
      </c>
      <c r="AX9" s="284">
        <v>0</v>
      </c>
      <c r="AY9" s="284">
        <v>0</v>
      </c>
      <c r="AZ9" s="284">
        <v>0</v>
      </c>
      <c r="BA9" s="284">
        <v>0</v>
      </c>
      <c r="BB9" s="284">
        <v>0</v>
      </c>
      <c r="BC9" s="284">
        <v>0</v>
      </c>
      <c r="BD9" s="284">
        <v>0</v>
      </c>
      <c r="BE9" s="284">
        <v>0</v>
      </c>
      <c r="BF9" s="284">
        <v>0</v>
      </c>
      <c r="BG9" s="284">
        <v>0</v>
      </c>
      <c r="BH9" s="284">
        <v>0</v>
      </c>
      <c r="BI9" s="284">
        <v>0</v>
      </c>
      <c r="BJ9" s="284">
        <v>0</v>
      </c>
      <c r="BK9" s="284">
        <v>0</v>
      </c>
      <c r="BL9" s="284">
        <v>0</v>
      </c>
      <c r="BM9" s="284">
        <v>0</v>
      </c>
      <c r="BN9" s="284">
        <v>0</v>
      </c>
      <c r="BO9" s="284">
        <v>0</v>
      </c>
      <c r="BP9" s="284">
        <v>0</v>
      </c>
      <c r="BQ9" s="284">
        <v>0</v>
      </c>
      <c r="BR9" s="284">
        <v>0</v>
      </c>
      <c r="BS9" s="284">
        <v>0</v>
      </c>
      <c r="BT9" s="284">
        <v>0</v>
      </c>
      <c r="BU9" s="284">
        <v>0</v>
      </c>
      <c r="BV9" s="284">
        <v>0</v>
      </c>
      <c r="BW9" s="284">
        <v>0</v>
      </c>
      <c r="BX9" s="284">
        <v>0</v>
      </c>
      <c r="BY9" s="284">
        <v>0</v>
      </c>
      <c r="BZ9" s="284">
        <v>0</v>
      </c>
      <c r="CA9" s="284">
        <v>0</v>
      </c>
      <c r="CB9" s="284">
        <v>0</v>
      </c>
      <c r="CC9" s="284">
        <v>0</v>
      </c>
      <c r="CD9" s="284">
        <v>0</v>
      </c>
      <c r="CE9" s="284">
        <v>0</v>
      </c>
      <c r="CF9" s="284">
        <v>0</v>
      </c>
      <c r="CG9" s="284">
        <v>0</v>
      </c>
      <c r="CH9" s="284">
        <v>0</v>
      </c>
      <c r="CI9" s="284">
        <v>0</v>
      </c>
      <c r="CJ9" s="284">
        <v>0</v>
      </c>
      <c r="CK9" s="284">
        <v>0</v>
      </c>
      <c r="CL9" s="284">
        <v>0</v>
      </c>
      <c r="CM9" s="284">
        <v>0</v>
      </c>
      <c r="CN9" s="284">
        <v>0</v>
      </c>
      <c r="CO9" s="284">
        <v>0</v>
      </c>
      <c r="CP9" s="284">
        <v>0</v>
      </c>
      <c r="CQ9" s="284">
        <v>0</v>
      </c>
      <c r="CR9" s="284">
        <v>0</v>
      </c>
      <c r="CS9" s="284">
        <v>0</v>
      </c>
      <c r="CT9" s="284">
        <v>0</v>
      </c>
      <c r="CU9" s="284">
        <v>0</v>
      </c>
      <c r="CV9" s="284">
        <v>0</v>
      </c>
      <c r="CW9" s="284">
        <v>0</v>
      </c>
      <c r="CX9" s="284">
        <v>0</v>
      </c>
      <c r="CY9" s="284">
        <v>0</v>
      </c>
      <c r="CZ9" s="284">
        <v>0</v>
      </c>
      <c r="DA9" s="284">
        <v>0</v>
      </c>
      <c r="DB9" s="284">
        <v>0</v>
      </c>
      <c r="DC9" s="284">
        <v>0</v>
      </c>
      <c r="DD9" s="284">
        <v>0</v>
      </c>
      <c r="DE9" s="284">
        <v>0</v>
      </c>
      <c r="DF9" s="284">
        <v>0</v>
      </c>
      <c r="DG9" s="284">
        <v>0</v>
      </c>
      <c r="DH9" s="284">
        <v>0</v>
      </c>
      <c r="DI9" s="284">
        <v>0</v>
      </c>
      <c r="DJ9" s="284">
        <v>0</v>
      </c>
      <c r="DK9" s="284">
        <v>0</v>
      </c>
      <c r="DL9" s="284">
        <v>0</v>
      </c>
      <c r="DM9" s="284">
        <v>0</v>
      </c>
      <c r="DN9" s="284">
        <v>0</v>
      </c>
      <c r="DO9" s="284">
        <v>0</v>
      </c>
      <c r="DP9" s="284">
        <v>0</v>
      </c>
      <c r="DQ9" s="284">
        <v>0</v>
      </c>
      <c r="DR9" s="284">
        <v>0</v>
      </c>
      <c r="DS9" s="284">
        <v>2022</v>
      </c>
      <c r="DT9" s="284">
        <v>7</v>
      </c>
      <c r="DU9" s="284">
        <v>27</v>
      </c>
      <c r="DV9" s="284" t="s">
        <v>688</v>
      </c>
      <c r="DW9" s="284" t="s">
        <v>689</v>
      </c>
      <c r="DX9" s="284" t="s">
        <v>679</v>
      </c>
    </row>
    <row r="10" spans="1:128">
      <c r="A10" s="284">
        <v>8</v>
      </c>
      <c r="B10" s="284">
        <v>996000</v>
      </c>
      <c r="C10" s="284">
        <v>0</v>
      </c>
      <c r="D10" s="284">
        <v>0</v>
      </c>
      <c r="E10" s="284">
        <v>0</v>
      </c>
      <c r="F10" s="284">
        <v>0</v>
      </c>
      <c r="G10" s="284">
        <v>0</v>
      </c>
      <c r="H10" s="284">
        <v>0</v>
      </c>
      <c r="I10" s="284">
        <v>0</v>
      </c>
      <c r="J10" s="284">
        <v>0</v>
      </c>
      <c r="K10" s="284">
        <v>0</v>
      </c>
      <c r="L10" s="284">
        <v>0</v>
      </c>
      <c r="M10" s="284">
        <v>0</v>
      </c>
      <c r="N10" s="284">
        <v>0</v>
      </c>
      <c r="O10" s="284">
        <v>0</v>
      </c>
      <c r="P10" s="284">
        <v>0</v>
      </c>
      <c r="Q10" s="284">
        <v>0</v>
      </c>
      <c r="R10" s="284">
        <v>0</v>
      </c>
      <c r="S10" s="284">
        <v>996050</v>
      </c>
      <c r="T10" s="284">
        <v>0</v>
      </c>
      <c r="U10" s="284">
        <v>996050</v>
      </c>
      <c r="V10" s="284">
        <v>996050</v>
      </c>
      <c r="W10" s="284">
        <v>11012400</v>
      </c>
      <c r="X10" s="284">
        <v>996050</v>
      </c>
      <c r="Y10" s="284">
        <v>996050</v>
      </c>
      <c r="Z10" s="284">
        <v>996000</v>
      </c>
      <c r="AA10" s="284">
        <v>0</v>
      </c>
      <c r="AB10" s="284">
        <v>0</v>
      </c>
      <c r="AC10" s="284">
        <v>0</v>
      </c>
      <c r="AD10" s="284">
        <v>0</v>
      </c>
      <c r="AE10" s="284">
        <v>0</v>
      </c>
      <c r="AF10" s="284">
        <v>0</v>
      </c>
      <c r="AG10" s="284">
        <v>0</v>
      </c>
      <c r="AH10" s="284">
        <v>0</v>
      </c>
      <c r="AI10" s="284">
        <v>0</v>
      </c>
      <c r="AJ10" s="284">
        <v>0</v>
      </c>
      <c r="AK10" s="284">
        <v>0</v>
      </c>
      <c r="AL10" s="284">
        <v>0</v>
      </c>
      <c r="AM10" s="284">
        <v>0</v>
      </c>
      <c r="AN10" s="284">
        <v>0</v>
      </c>
      <c r="AO10" s="284">
        <v>0</v>
      </c>
      <c r="AP10" s="284">
        <v>0</v>
      </c>
      <c r="AQ10" s="284">
        <v>0</v>
      </c>
      <c r="AR10" s="284">
        <v>0</v>
      </c>
      <c r="AS10" s="284">
        <v>0</v>
      </c>
      <c r="AT10" s="284">
        <v>0</v>
      </c>
      <c r="AU10" s="284">
        <v>0</v>
      </c>
      <c r="AV10" s="284">
        <v>0</v>
      </c>
      <c r="AW10" s="284">
        <v>0</v>
      </c>
      <c r="AX10" s="284">
        <v>0</v>
      </c>
      <c r="AY10" s="284">
        <v>0</v>
      </c>
      <c r="AZ10" s="284">
        <v>0</v>
      </c>
      <c r="BA10" s="284">
        <v>0</v>
      </c>
      <c r="BB10" s="284">
        <v>0</v>
      </c>
      <c r="BC10" s="284">
        <v>0</v>
      </c>
      <c r="BD10" s="284">
        <v>0</v>
      </c>
      <c r="BE10" s="284">
        <v>0</v>
      </c>
      <c r="BF10" s="284">
        <v>0</v>
      </c>
      <c r="BG10" s="284">
        <v>0</v>
      </c>
      <c r="BH10" s="284">
        <v>0</v>
      </c>
      <c r="BI10" s="284">
        <v>0</v>
      </c>
      <c r="BJ10" s="284">
        <v>0</v>
      </c>
      <c r="BK10" s="284">
        <v>0</v>
      </c>
      <c r="BL10" s="284">
        <v>0</v>
      </c>
      <c r="BM10" s="284">
        <v>0</v>
      </c>
      <c r="BN10" s="284">
        <v>0</v>
      </c>
      <c r="BO10" s="284">
        <v>0</v>
      </c>
      <c r="BP10" s="284">
        <v>0</v>
      </c>
      <c r="BQ10" s="284">
        <v>0</v>
      </c>
      <c r="BR10" s="284">
        <v>0</v>
      </c>
      <c r="BS10" s="284">
        <v>0</v>
      </c>
      <c r="BT10" s="284">
        <v>0</v>
      </c>
      <c r="BU10" s="284">
        <v>0</v>
      </c>
      <c r="BV10" s="284">
        <v>0</v>
      </c>
      <c r="BW10" s="284">
        <v>0</v>
      </c>
      <c r="BX10" s="284">
        <v>0</v>
      </c>
      <c r="BY10" s="284">
        <v>0</v>
      </c>
      <c r="BZ10" s="284">
        <v>0</v>
      </c>
      <c r="CA10" s="284">
        <v>0</v>
      </c>
      <c r="CB10" s="284">
        <v>0</v>
      </c>
      <c r="CC10" s="284">
        <v>0</v>
      </c>
      <c r="CD10" s="284">
        <v>0</v>
      </c>
      <c r="CE10" s="284">
        <v>0</v>
      </c>
      <c r="CF10" s="284">
        <v>0</v>
      </c>
      <c r="CG10" s="284">
        <v>0</v>
      </c>
      <c r="CH10" s="284">
        <v>0</v>
      </c>
      <c r="CI10" s="284">
        <v>0</v>
      </c>
      <c r="CJ10" s="284">
        <v>0</v>
      </c>
      <c r="CK10" s="284">
        <v>0</v>
      </c>
      <c r="CL10" s="284">
        <v>0</v>
      </c>
      <c r="CM10" s="284">
        <v>0</v>
      </c>
      <c r="CN10" s="284">
        <v>0</v>
      </c>
      <c r="CO10" s="284">
        <v>0</v>
      </c>
      <c r="CP10" s="284">
        <v>0</v>
      </c>
      <c r="CQ10" s="284">
        <v>0</v>
      </c>
      <c r="CR10" s="284">
        <v>0</v>
      </c>
      <c r="CS10" s="284">
        <v>0</v>
      </c>
      <c r="CT10" s="284">
        <v>0</v>
      </c>
      <c r="CU10" s="284">
        <v>0</v>
      </c>
      <c r="CV10" s="284">
        <v>0</v>
      </c>
      <c r="CW10" s="284">
        <v>0</v>
      </c>
      <c r="CX10" s="284">
        <v>0</v>
      </c>
      <c r="CY10" s="284">
        <v>0</v>
      </c>
      <c r="CZ10" s="284">
        <v>0</v>
      </c>
      <c r="DA10" s="284">
        <v>0</v>
      </c>
      <c r="DB10" s="284">
        <v>0</v>
      </c>
      <c r="DC10" s="284">
        <v>0</v>
      </c>
      <c r="DD10" s="284">
        <v>0</v>
      </c>
      <c r="DE10" s="284">
        <v>0</v>
      </c>
      <c r="DF10" s="284">
        <v>0</v>
      </c>
      <c r="DG10" s="284">
        <v>0</v>
      </c>
      <c r="DH10" s="284">
        <v>0</v>
      </c>
      <c r="DI10" s="284">
        <v>0</v>
      </c>
      <c r="DJ10" s="284">
        <v>0</v>
      </c>
      <c r="DK10" s="284">
        <v>0</v>
      </c>
      <c r="DL10" s="284">
        <v>0</v>
      </c>
      <c r="DM10" s="284">
        <v>0</v>
      </c>
      <c r="DN10" s="284">
        <v>0</v>
      </c>
      <c r="DO10" s="284">
        <v>0</v>
      </c>
      <c r="DP10" s="284">
        <v>0</v>
      </c>
      <c r="DQ10" s="284">
        <v>0</v>
      </c>
      <c r="DR10" s="284">
        <v>0</v>
      </c>
      <c r="DS10" s="284">
        <v>2022</v>
      </c>
      <c r="DT10" s="284">
        <v>7</v>
      </c>
      <c r="DU10" s="284">
        <v>27</v>
      </c>
      <c r="DV10" s="284" t="s">
        <v>682</v>
      </c>
      <c r="DW10" s="284" t="s">
        <v>690</v>
      </c>
      <c r="DX10" s="284" t="s">
        <v>679</v>
      </c>
    </row>
    <row r="11" spans="1:128">
      <c r="A11" s="284">
        <v>9</v>
      </c>
      <c r="B11" s="284">
        <v>6588000</v>
      </c>
      <c r="C11" s="284">
        <v>0</v>
      </c>
      <c r="D11" s="284">
        <v>0</v>
      </c>
      <c r="E11" s="284">
        <v>0</v>
      </c>
      <c r="F11" s="284">
        <v>0</v>
      </c>
      <c r="G11" s="284">
        <v>0</v>
      </c>
      <c r="H11" s="284">
        <v>0</v>
      </c>
      <c r="I11" s="284">
        <v>0</v>
      </c>
      <c r="J11" s="284">
        <v>0</v>
      </c>
      <c r="K11" s="284">
        <v>0</v>
      </c>
      <c r="L11" s="284">
        <v>0</v>
      </c>
      <c r="M11" s="284">
        <v>0</v>
      </c>
      <c r="N11" s="284">
        <v>0</v>
      </c>
      <c r="O11" s="284">
        <v>0</v>
      </c>
      <c r="P11" s="284">
        <v>0</v>
      </c>
      <c r="Q11" s="284">
        <v>0</v>
      </c>
      <c r="R11" s="284">
        <v>0</v>
      </c>
      <c r="S11" s="284">
        <v>6650600</v>
      </c>
      <c r="T11" s="284">
        <v>0</v>
      </c>
      <c r="U11" s="284">
        <v>6650600</v>
      </c>
      <c r="V11" s="284">
        <v>6650600</v>
      </c>
      <c r="W11" s="284">
        <v>6588000</v>
      </c>
      <c r="X11" s="284">
        <v>6588000</v>
      </c>
      <c r="Y11" s="284">
        <v>6588000</v>
      </c>
      <c r="Z11" s="284">
        <v>6588000</v>
      </c>
      <c r="AA11" s="284">
        <v>0</v>
      </c>
      <c r="AB11" s="284">
        <v>0</v>
      </c>
      <c r="AC11" s="284">
        <v>0</v>
      </c>
      <c r="AD11" s="284">
        <v>0</v>
      </c>
      <c r="AE11" s="284">
        <v>0</v>
      </c>
      <c r="AF11" s="284">
        <v>0</v>
      </c>
      <c r="AG11" s="284">
        <v>0</v>
      </c>
      <c r="AH11" s="284">
        <v>0</v>
      </c>
      <c r="AI11" s="284">
        <v>0</v>
      </c>
      <c r="AJ11" s="284">
        <v>0</v>
      </c>
      <c r="AK11" s="284">
        <v>0</v>
      </c>
      <c r="AL11" s="284">
        <v>0</v>
      </c>
      <c r="AM11" s="284">
        <v>0</v>
      </c>
      <c r="AN11" s="284">
        <v>0</v>
      </c>
      <c r="AO11" s="284">
        <v>0</v>
      </c>
      <c r="AP11" s="284">
        <v>0</v>
      </c>
      <c r="AQ11" s="284">
        <v>0</v>
      </c>
      <c r="AR11" s="284">
        <v>0</v>
      </c>
      <c r="AS11" s="284">
        <v>0</v>
      </c>
      <c r="AT11" s="284">
        <v>0</v>
      </c>
      <c r="AU11" s="284">
        <v>0</v>
      </c>
      <c r="AV11" s="284">
        <v>0</v>
      </c>
      <c r="AW11" s="284">
        <v>0</v>
      </c>
      <c r="AX11" s="284">
        <v>0</v>
      </c>
      <c r="AY11" s="284">
        <v>0</v>
      </c>
      <c r="AZ11" s="284">
        <v>0</v>
      </c>
      <c r="BA11" s="284">
        <v>0</v>
      </c>
      <c r="BB11" s="284">
        <v>0</v>
      </c>
      <c r="BC11" s="284">
        <v>0</v>
      </c>
      <c r="BD11" s="284">
        <v>0</v>
      </c>
      <c r="BE11" s="284">
        <v>0</v>
      </c>
      <c r="BF11" s="284">
        <v>0</v>
      </c>
      <c r="BG11" s="284">
        <v>0</v>
      </c>
      <c r="BH11" s="284">
        <v>0</v>
      </c>
      <c r="BI11" s="284">
        <v>0</v>
      </c>
      <c r="BJ11" s="284">
        <v>0</v>
      </c>
      <c r="BK11" s="284">
        <v>0</v>
      </c>
      <c r="BL11" s="284">
        <v>0</v>
      </c>
      <c r="BM11" s="284">
        <v>0</v>
      </c>
      <c r="BN11" s="284">
        <v>0</v>
      </c>
      <c r="BO11" s="284">
        <v>0</v>
      </c>
      <c r="BP11" s="284">
        <v>0</v>
      </c>
      <c r="BQ11" s="284">
        <v>0</v>
      </c>
      <c r="BR11" s="284">
        <v>0</v>
      </c>
      <c r="BS11" s="284">
        <v>0</v>
      </c>
      <c r="BT11" s="284">
        <v>0</v>
      </c>
      <c r="BU11" s="284">
        <v>0</v>
      </c>
      <c r="BV11" s="284">
        <v>0</v>
      </c>
      <c r="BW11" s="284">
        <v>0</v>
      </c>
      <c r="BX11" s="284">
        <v>0</v>
      </c>
      <c r="BY11" s="284">
        <v>0</v>
      </c>
      <c r="BZ11" s="284">
        <v>0</v>
      </c>
      <c r="CA11" s="284">
        <v>0</v>
      </c>
      <c r="CB11" s="284">
        <v>0</v>
      </c>
      <c r="CC11" s="284">
        <v>0</v>
      </c>
      <c r="CD11" s="284">
        <v>0</v>
      </c>
      <c r="CE11" s="284">
        <v>0</v>
      </c>
      <c r="CF11" s="284">
        <v>0</v>
      </c>
      <c r="CG11" s="284">
        <v>0</v>
      </c>
      <c r="CH11" s="284">
        <v>0</v>
      </c>
      <c r="CI11" s="284">
        <v>0</v>
      </c>
      <c r="CJ11" s="284">
        <v>0</v>
      </c>
      <c r="CK11" s="284">
        <v>0</v>
      </c>
      <c r="CL11" s="284">
        <v>0</v>
      </c>
      <c r="CM11" s="284">
        <v>0</v>
      </c>
      <c r="CN11" s="284">
        <v>0</v>
      </c>
      <c r="CO11" s="284">
        <v>0</v>
      </c>
      <c r="CP11" s="284">
        <v>0</v>
      </c>
      <c r="CQ11" s="284">
        <v>0</v>
      </c>
      <c r="CR11" s="284">
        <v>0</v>
      </c>
      <c r="CS11" s="284">
        <v>0</v>
      </c>
      <c r="CT11" s="284">
        <v>0</v>
      </c>
      <c r="CU11" s="284">
        <v>0</v>
      </c>
      <c r="CV11" s="284">
        <v>0</v>
      </c>
      <c r="CW11" s="284">
        <v>0</v>
      </c>
      <c r="CX11" s="284">
        <v>0</v>
      </c>
      <c r="CY11" s="284">
        <v>0</v>
      </c>
      <c r="CZ11" s="284">
        <v>0</v>
      </c>
      <c r="DA11" s="284">
        <v>0</v>
      </c>
      <c r="DB11" s="284">
        <v>0</v>
      </c>
      <c r="DC11" s="284">
        <v>0</v>
      </c>
      <c r="DD11" s="284">
        <v>0</v>
      </c>
      <c r="DE11" s="284">
        <v>0</v>
      </c>
      <c r="DF11" s="284">
        <v>0</v>
      </c>
      <c r="DG11" s="284">
        <v>0</v>
      </c>
      <c r="DH11" s="284">
        <v>0</v>
      </c>
      <c r="DI11" s="284">
        <v>0</v>
      </c>
      <c r="DJ11" s="284">
        <v>0</v>
      </c>
      <c r="DK11" s="284">
        <v>0</v>
      </c>
      <c r="DL11" s="284">
        <v>0</v>
      </c>
      <c r="DM11" s="284">
        <v>0</v>
      </c>
      <c r="DN11" s="284">
        <v>0</v>
      </c>
      <c r="DO11" s="284">
        <v>0</v>
      </c>
      <c r="DP11" s="284">
        <v>0</v>
      </c>
      <c r="DQ11" s="284">
        <v>0</v>
      </c>
      <c r="DR11" s="284">
        <v>0</v>
      </c>
      <c r="DS11" s="284">
        <v>2022</v>
      </c>
      <c r="DT11" s="284">
        <v>7</v>
      </c>
      <c r="DU11" s="284">
        <v>27</v>
      </c>
      <c r="DV11" s="284" t="s">
        <v>691</v>
      </c>
      <c r="DW11" s="284" t="s">
        <v>692</v>
      </c>
      <c r="DX11" s="284" t="s">
        <v>679</v>
      </c>
    </row>
    <row r="12" spans="1:128">
      <c r="A12" s="284">
        <v>10</v>
      </c>
      <c r="B12" s="284">
        <v>1065000</v>
      </c>
      <c r="C12" s="284">
        <v>0</v>
      </c>
      <c r="D12" s="284">
        <v>0</v>
      </c>
      <c r="E12" s="284">
        <v>0</v>
      </c>
      <c r="F12" s="284">
        <v>0</v>
      </c>
      <c r="G12" s="284">
        <v>0</v>
      </c>
      <c r="H12" s="284">
        <v>0</v>
      </c>
      <c r="I12" s="284">
        <v>0</v>
      </c>
      <c r="J12" s="284">
        <v>0</v>
      </c>
      <c r="K12" s="284">
        <v>0</v>
      </c>
      <c r="L12" s="284">
        <v>0</v>
      </c>
      <c r="M12" s="284">
        <v>0</v>
      </c>
      <c r="N12" s="284">
        <v>0</v>
      </c>
      <c r="O12" s="284">
        <v>0</v>
      </c>
      <c r="P12" s="284">
        <v>0</v>
      </c>
      <c r="Q12" s="284">
        <v>0</v>
      </c>
      <c r="R12" s="284">
        <v>0</v>
      </c>
      <c r="S12" s="284">
        <v>1273250</v>
      </c>
      <c r="T12" s="284">
        <v>0</v>
      </c>
      <c r="U12" s="284">
        <v>1273250</v>
      </c>
      <c r="V12" s="284">
        <v>1273250</v>
      </c>
      <c r="W12" s="284">
        <v>1065600</v>
      </c>
      <c r="X12" s="284">
        <v>1065600</v>
      </c>
      <c r="Y12" s="284">
        <v>1065600</v>
      </c>
      <c r="Z12" s="284">
        <v>1065000</v>
      </c>
      <c r="AA12" s="284">
        <v>0</v>
      </c>
      <c r="AB12" s="284">
        <v>0</v>
      </c>
      <c r="AC12" s="284">
        <v>0</v>
      </c>
      <c r="AD12" s="284">
        <v>0</v>
      </c>
      <c r="AE12" s="284">
        <v>0</v>
      </c>
      <c r="AF12" s="284">
        <v>0</v>
      </c>
      <c r="AG12" s="284">
        <v>0</v>
      </c>
      <c r="AH12" s="284">
        <v>0</v>
      </c>
      <c r="AI12" s="284">
        <v>0</v>
      </c>
      <c r="AJ12" s="284">
        <v>0</v>
      </c>
      <c r="AK12" s="284">
        <v>0</v>
      </c>
      <c r="AL12" s="284">
        <v>0</v>
      </c>
      <c r="AM12" s="284">
        <v>0</v>
      </c>
      <c r="AN12" s="284">
        <v>0</v>
      </c>
      <c r="AO12" s="284">
        <v>0</v>
      </c>
      <c r="AP12" s="284">
        <v>0</v>
      </c>
      <c r="AQ12" s="284">
        <v>0</v>
      </c>
      <c r="AR12" s="284">
        <v>0</v>
      </c>
      <c r="AS12" s="284">
        <v>0</v>
      </c>
      <c r="AT12" s="284">
        <v>0</v>
      </c>
      <c r="AU12" s="284">
        <v>0</v>
      </c>
      <c r="AV12" s="284">
        <v>0</v>
      </c>
      <c r="AW12" s="284">
        <v>0</v>
      </c>
      <c r="AX12" s="284">
        <v>0</v>
      </c>
      <c r="AY12" s="284">
        <v>0</v>
      </c>
      <c r="AZ12" s="284">
        <v>0</v>
      </c>
      <c r="BA12" s="284">
        <v>0</v>
      </c>
      <c r="BB12" s="284">
        <v>0</v>
      </c>
      <c r="BC12" s="284">
        <v>0</v>
      </c>
      <c r="BD12" s="284">
        <v>0</v>
      </c>
      <c r="BE12" s="284">
        <v>0</v>
      </c>
      <c r="BF12" s="284">
        <v>0</v>
      </c>
      <c r="BG12" s="284">
        <v>0</v>
      </c>
      <c r="BH12" s="284">
        <v>0</v>
      </c>
      <c r="BI12" s="284">
        <v>0</v>
      </c>
      <c r="BJ12" s="284">
        <v>0</v>
      </c>
      <c r="BK12" s="284">
        <v>0</v>
      </c>
      <c r="BL12" s="284">
        <v>0</v>
      </c>
      <c r="BM12" s="284">
        <v>0</v>
      </c>
      <c r="BN12" s="284">
        <v>0</v>
      </c>
      <c r="BO12" s="284">
        <v>0</v>
      </c>
      <c r="BP12" s="284">
        <v>0</v>
      </c>
      <c r="BQ12" s="284">
        <v>0</v>
      </c>
      <c r="BR12" s="284">
        <v>0</v>
      </c>
      <c r="BS12" s="284">
        <v>0</v>
      </c>
      <c r="BT12" s="284">
        <v>0</v>
      </c>
      <c r="BU12" s="284">
        <v>0</v>
      </c>
      <c r="BV12" s="284">
        <v>0</v>
      </c>
      <c r="BW12" s="284">
        <v>0</v>
      </c>
      <c r="BX12" s="284">
        <v>0</v>
      </c>
      <c r="BY12" s="284">
        <v>0</v>
      </c>
      <c r="BZ12" s="284">
        <v>0</v>
      </c>
      <c r="CA12" s="284">
        <v>0</v>
      </c>
      <c r="CB12" s="284">
        <v>0</v>
      </c>
      <c r="CC12" s="284">
        <v>0</v>
      </c>
      <c r="CD12" s="284">
        <v>0</v>
      </c>
      <c r="CE12" s="284">
        <v>0</v>
      </c>
      <c r="CF12" s="284">
        <v>0</v>
      </c>
      <c r="CG12" s="284">
        <v>0</v>
      </c>
      <c r="CH12" s="284">
        <v>0</v>
      </c>
      <c r="CI12" s="284">
        <v>0</v>
      </c>
      <c r="CJ12" s="284">
        <v>0</v>
      </c>
      <c r="CK12" s="284">
        <v>0</v>
      </c>
      <c r="CL12" s="284">
        <v>0</v>
      </c>
      <c r="CM12" s="284">
        <v>0</v>
      </c>
      <c r="CN12" s="284">
        <v>0</v>
      </c>
      <c r="CO12" s="284">
        <v>0</v>
      </c>
      <c r="CP12" s="284">
        <v>0</v>
      </c>
      <c r="CQ12" s="284">
        <v>0</v>
      </c>
      <c r="CR12" s="284">
        <v>0</v>
      </c>
      <c r="CS12" s="284">
        <v>0</v>
      </c>
      <c r="CT12" s="284">
        <v>0</v>
      </c>
      <c r="CU12" s="284">
        <v>0</v>
      </c>
      <c r="CV12" s="284">
        <v>0</v>
      </c>
      <c r="CW12" s="284">
        <v>0</v>
      </c>
      <c r="CX12" s="284">
        <v>0</v>
      </c>
      <c r="CY12" s="284">
        <v>0</v>
      </c>
      <c r="CZ12" s="284">
        <v>0</v>
      </c>
      <c r="DA12" s="284">
        <v>0</v>
      </c>
      <c r="DB12" s="284">
        <v>0</v>
      </c>
      <c r="DC12" s="284">
        <v>0</v>
      </c>
      <c r="DD12" s="284">
        <v>0</v>
      </c>
      <c r="DE12" s="284">
        <v>0</v>
      </c>
      <c r="DF12" s="284">
        <v>0</v>
      </c>
      <c r="DG12" s="284">
        <v>0</v>
      </c>
      <c r="DH12" s="284">
        <v>0</v>
      </c>
      <c r="DI12" s="284">
        <v>0</v>
      </c>
      <c r="DJ12" s="284">
        <v>0</v>
      </c>
      <c r="DK12" s="284">
        <v>0</v>
      </c>
      <c r="DL12" s="284">
        <v>0</v>
      </c>
      <c r="DM12" s="284">
        <v>0</v>
      </c>
      <c r="DN12" s="284">
        <v>0</v>
      </c>
      <c r="DO12" s="284">
        <v>0</v>
      </c>
      <c r="DP12" s="284">
        <v>0</v>
      </c>
      <c r="DQ12" s="284">
        <v>0</v>
      </c>
      <c r="DR12" s="284">
        <v>0</v>
      </c>
      <c r="DS12" s="284">
        <v>2022</v>
      </c>
      <c r="DT12" s="284">
        <v>7</v>
      </c>
      <c r="DU12" s="284">
        <v>27</v>
      </c>
      <c r="DV12" s="284" t="s">
        <v>682</v>
      </c>
      <c r="DW12" s="284" t="s">
        <v>693</v>
      </c>
      <c r="DX12" s="284" t="s">
        <v>679</v>
      </c>
    </row>
    <row r="13" spans="1:128">
      <c r="A13" s="284">
        <v>11</v>
      </c>
      <c r="B13" s="284">
        <v>1609000</v>
      </c>
      <c r="C13" s="284">
        <v>0</v>
      </c>
      <c r="D13" s="284">
        <v>0</v>
      </c>
      <c r="E13" s="284">
        <v>0</v>
      </c>
      <c r="F13" s="284">
        <v>0</v>
      </c>
      <c r="G13" s="284">
        <v>0</v>
      </c>
      <c r="H13" s="284">
        <v>0</v>
      </c>
      <c r="I13" s="284">
        <v>0</v>
      </c>
      <c r="J13" s="284">
        <v>0</v>
      </c>
      <c r="K13" s="284">
        <v>0</v>
      </c>
      <c r="L13" s="284">
        <v>0</v>
      </c>
      <c r="M13" s="284">
        <v>0</v>
      </c>
      <c r="N13" s="284">
        <v>0</v>
      </c>
      <c r="O13" s="284">
        <v>0</v>
      </c>
      <c r="P13" s="284">
        <v>0</v>
      </c>
      <c r="Q13" s="284">
        <v>0</v>
      </c>
      <c r="R13" s="284">
        <v>0</v>
      </c>
      <c r="S13" s="284">
        <v>1609300</v>
      </c>
      <c r="T13" s="284">
        <v>0</v>
      </c>
      <c r="U13" s="284">
        <v>1609300</v>
      </c>
      <c r="V13" s="284">
        <v>1609300</v>
      </c>
      <c r="W13" s="284">
        <v>3294000</v>
      </c>
      <c r="X13" s="284">
        <v>1609300</v>
      </c>
      <c r="Y13" s="284">
        <v>1609300</v>
      </c>
      <c r="Z13" s="284">
        <v>1609000</v>
      </c>
      <c r="AA13" s="284">
        <v>0</v>
      </c>
      <c r="AB13" s="284">
        <v>0</v>
      </c>
      <c r="AC13" s="284">
        <v>0</v>
      </c>
      <c r="AD13" s="284">
        <v>0</v>
      </c>
      <c r="AE13" s="284">
        <v>0</v>
      </c>
      <c r="AF13" s="284">
        <v>0</v>
      </c>
      <c r="AG13" s="284">
        <v>0</v>
      </c>
      <c r="AH13" s="284">
        <v>0</v>
      </c>
      <c r="AI13" s="284">
        <v>0</v>
      </c>
      <c r="AJ13" s="284">
        <v>0</v>
      </c>
      <c r="AK13" s="284">
        <v>0</v>
      </c>
      <c r="AL13" s="284">
        <v>0</v>
      </c>
      <c r="AM13" s="284">
        <v>0</v>
      </c>
      <c r="AN13" s="284">
        <v>0</v>
      </c>
      <c r="AO13" s="284">
        <v>0</v>
      </c>
      <c r="AP13" s="284">
        <v>0</v>
      </c>
      <c r="AQ13" s="284">
        <v>0</v>
      </c>
      <c r="AR13" s="284">
        <v>0</v>
      </c>
      <c r="AS13" s="284">
        <v>0</v>
      </c>
      <c r="AT13" s="284">
        <v>0</v>
      </c>
      <c r="AU13" s="284">
        <v>0</v>
      </c>
      <c r="AV13" s="284">
        <v>0</v>
      </c>
      <c r="AW13" s="284">
        <v>0</v>
      </c>
      <c r="AX13" s="284">
        <v>0</v>
      </c>
      <c r="AY13" s="284">
        <v>0</v>
      </c>
      <c r="AZ13" s="284">
        <v>0</v>
      </c>
      <c r="BA13" s="284">
        <v>0</v>
      </c>
      <c r="BB13" s="284">
        <v>0</v>
      </c>
      <c r="BC13" s="284">
        <v>0</v>
      </c>
      <c r="BD13" s="284">
        <v>0</v>
      </c>
      <c r="BE13" s="284">
        <v>0</v>
      </c>
      <c r="BF13" s="284">
        <v>0</v>
      </c>
      <c r="BG13" s="284">
        <v>0</v>
      </c>
      <c r="BH13" s="284">
        <v>0</v>
      </c>
      <c r="BI13" s="284">
        <v>0</v>
      </c>
      <c r="BJ13" s="284">
        <v>0</v>
      </c>
      <c r="BK13" s="284">
        <v>0</v>
      </c>
      <c r="BL13" s="284">
        <v>0</v>
      </c>
      <c r="BM13" s="284">
        <v>0</v>
      </c>
      <c r="BN13" s="284">
        <v>0</v>
      </c>
      <c r="BO13" s="284">
        <v>0</v>
      </c>
      <c r="BP13" s="284">
        <v>0</v>
      </c>
      <c r="BQ13" s="284">
        <v>0</v>
      </c>
      <c r="BR13" s="284">
        <v>0</v>
      </c>
      <c r="BS13" s="284">
        <v>0</v>
      </c>
      <c r="BT13" s="284">
        <v>0</v>
      </c>
      <c r="BU13" s="284">
        <v>0</v>
      </c>
      <c r="BV13" s="284">
        <v>0</v>
      </c>
      <c r="BW13" s="284">
        <v>0</v>
      </c>
      <c r="BX13" s="284">
        <v>0</v>
      </c>
      <c r="BY13" s="284">
        <v>0</v>
      </c>
      <c r="BZ13" s="284">
        <v>0</v>
      </c>
      <c r="CA13" s="284">
        <v>0</v>
      </c>
      <c r="CB13" s="284">
        <v>0</v>
      </c>
      <c r="CC13" s="284">
        <v>0</v>
      </c>
      <c r="CD13" s="284">
        <v>0</v>
      </c>
      <c r="CE13" s="284">
        <v>0</v>
      </c>
      <c r="CF13" s="284">
        <v>0</v>
      </c>
      <c r="CG13" s="284">
        <v>0</v>
      </c>
      <c r="CH13" s="284">
        <v>0</v>
      </c>
      <c r="CI13" s="284">
        <v>0</v>
      </c>
      <c r="CJ13" s="284">
        <v>0</v>
      </c>
      <c r="CK13" s="284">
        <v>0</v>
      </c>
      <c r="CL13" s="284">
        <v>0</v>
      </c>
      <c r="CM13" s="284">
        <v>0</v>
      </c>
      <c r="CN13" s="284">
        <v>0</v>
      </c>
      <c r="CO13" s="284">
        <v>0</v>
      </c>
      <c r="CP13" s="284">
        <v>0</v>
      </c>
      <c r="CQ13" s="284">
        <v>0</v>
      </c>
      <c r="CR13" s="284">
        <v>0</v>
      </c>
      <c r="CS13" s="284">
        <v>0</v>
      </c>
      <c r="CT13" s="284">
        <v>0</v>
      </c>
      <c r="CU13" s="284">
        <v>0</v>
      </c>
      <c r="CV13" s="284">
        <v>0</v>
      </c>
      <c r="CW13" s="284">
        <v>0</v>
      </c>
      <c r="CX13" s="284">
        <v>0</v>
      </c>
      <c r="CY13" s="284">
        <v>0</v>
      </c>
      <c r="CZ13" s="284">
        <v>0</v>
      </c>
      <c r="DA13" s="284">
        <v>0</v>
      </c>
      <c r="DB13" s="284">
        <v>0</v>
      </c>
      <c r="DC13" s="284">
        <v>0</v>
      </c>
      <c r="DD13" s="284">
        <v>0</v>
      </c>
      <c r="DE13" s="284">
        <v>0</v>
      </c>
      <c r="DF13" s="284">
        <v>0</v>
      </c>
      <c r="DG13" s="284">
        <v>0</v>
      </c>
      <c r="DH13" s="284">
        <v>0</v>
      </c>
      <c r="DI13" s="284">
        <v>0</v>
      </c>
      <c r="DJ13" s="284">
        <v>0</v>
      </c>
      <c r="DK13" s="284">
        <v>0</v>
      </c>
      <c r="DL13" s="284">
        <v>0</v>
      </c>
      <c r="DM13" s="284">
        <v>0</v>
      </c>
      <c r="DN13" s="284">
        <v>0</v>
      </c>
      <c r="DO13" s="284">
        <v>0</v>
      </c>
      <c r="DP13" s="284">
        <v>0</v>
      </c>
      <c r="DQ13" s="284">
        <v>0</v>
      </c>
      <c r="DR13" s="284">
        <v>0</v>
      </c>
      <c r="DS13" s="284">
        <v>2022</v>
      </c>
      <c r="DT13" s="284">
        <v>7</v>
      </c>
      <c r="DU13" s="284">
        <v>27</v>
      </c>
      <c r="DV13" s="284" t="s">
        <v>694</v>
      </c>
      <c r="DW13" s="284" t="s">
        <v>695</v>
      </c>
      <c r="DX13" s="284" t="s">
        <v>679</v>
      </c>
    </row>
    <row r="14" spans="1:128">
      <c r="A14" s="284">
        <v>12</v>
      </c>
      <c r="B14" s="284">
        <v>253000</v>
      </c>
      <c r="C14" s="284">
        <v>0</v>
      </c>
      <c r="D14" s="284">
        <v>0</v>
      </c>
      <c r="E14" s="284">
        <v>0</v>
      </c>
      <c r="F14" s="284">
        <v>0</v>
      </c>
      <c r="G14" s="284">
        <v>0</v>
      </c>
      <c r="H14" s="284">
        <v>0</v>
      </c>
      <c r="I14" s="284">
        <v>0</v>
      </c>
      <c r="J14" s="284">
        <v>0</v>
      </c>
      <c r="K14" s="284">
        <v>0</v>
      </c>
      <c r="L14" s="284">
        <v>0</v>
      </c>
      <c r="M14" s="284">
        <v>0</v>
      </c>
      <c r="N14" s="284">
        <v>0</v>
      </c>
      <c r="O14" s="284">
        <v>0</v>
      </c>
      <c r="P14" s="284">
        <v>0</v>
      </c>
      <c r="Q14" s="284">
        <v>0</v>
      </c>
      <c r="R14" s="284">
        <v>0</v>
      </c>
      <c r="S14" s="284">
        <v>253242</v>
      </c>
      <c r="T14" s="284">
        <v>0</v>
      </c>
      <c r="U14" s="284">
        <v>253242</v>
      </c>
      <c r="V14" s="284">
        <v>253242</v>
      </c>
      <c r="W14" s="284">
        <v>2635200</v>
      </c>
      <c r="X14" s="284">
        <v>253242</v>
      </c>
      <c r="Y14" s="284">
        <v>253242</v>
      </c>
      <c r="Z14" s="284">
        <v>253000</v>
      </c>
      <c r="AA14" s="284">
        <v>0</v>
      </c>
      <c r="AB14" s="284">
        <v>0</v>
      </c>
      <c r="AC14" s="284">
        <v>0</v>
      </c>
      <c r="AD14" s="284">
        <v>0</v>
      </c>
      <c r="AE14" s="284">
        <v>0</v>
      </c>
      <c r="AF14" s="284">
        <v>0</v>
      </c>
      <c r="AG14" s="284">
        <v>0</v>
      </c>
      <c r="AH14" s="284">
        <v>0</v>
      </c>
      <c r="AI14" s="284">
        <v>0</v>
      </c>
      <c r="AJ14" s="284">
        <v>0</v>
      </c>
      <c r="AK14" s="284">
        <v>0</v>
      </c>
      <c r="AL14" s="284">
        <v>0</v>
      </c>
      <c r="AM14" s="284">
        <v>0</v>
      </c>
      <c r="AN14" s="284">
        <v>0</v>
      </c>
      <c r="AO14" s="284">
        <v>0</v>
      </c>
      <c r="AP14" s="284">
        <v>0</v>
      </c>
      <c r="AQ14" s="284">
        <v>0</v>
      </c>
      <c r="AR14" s="284">
        <v>0</v>
      </c>
      <c r="AS14" s="284">
        <v>0</v>
      </c>
      <c r="AT14" s="284">
        <v>0</v>
      </c>
      <c r="AU14" s="284">
        <v>0</v>
      </c>
      <c r="AV14" s="284">
        <v>0</v>
      </c>
      <c r="AW14" s="284">
        <v>0</v>
      </c>
      <c r="AX14" s="284">
        <v>0</v>
      </c>
      <c r="AY14" s="284">
        <v>0</v>
      </c>
      <c r="AZ14" s="284">
        <v>0</v>
      </c>
      <c r="BA14" s="284">
        <v>0</v>
      </c>
      <c r="BB14" s="284">
        <v>0</v>
      </c>
      <c r="BC14" s="284">
        <v>0</v>
      </c>
      <c r="BD14" s="284">
        <v>0</v>
      </c>
      <c r="BE14" s="284">
        <v>0</v>
      </c>
      <c r="BF14" s="284">
        <v>0</v>
      </c>
      <c r="BG14" s="284">
        <v>0</v>
      </c>
      <c r="BH14" s="284">
        <v>0</v>
      </c>
      <c r="BI14" s="284">
        <v>0</v>
      </c>
      <c r="BJ14" s="284">
        <v>0</v>
      </c>
      <c r="BK14" s="284">
        <v>0</v>
      </c>
      <c r="BL14" s="284">
        <v>0</v>
      </c>
      <c r="BM14" s="284">
        <v>0</v>
      </c>
      <c r="BN14" s="284">
        <v>0</v>
      </c>
      <c r="BO14" s="284">
        <v>0</v>
      </c>
      <c r="BP14" s="284">
        <v>0</v>
      </c>
      <c r="BQ14" s="284">
        <v>0</v>
      </c>
      <c r="BR14" s="284">
        <v>0</v>
      </c>
      <c r="BS14" s="284">
        <v>0</v>
      </c>
      <c r="BT14" s="284">
        <v>0</v>
      </c>
      <c r="BU14" s="284">
        <v>0</v>
      </c>
      <c r="BV14" s="284">
        <v>0</v>
      </c>
      <c r="BW14" s="284">
        <v>0</v>
      </c>
      <c r="BX14" s="284">
        <v>0</v>
      </c>
      <c r="BY14" s="284">
        <v>0</v>
      </c>
      <c r="BZ14" s="284">
        <v>0</v>
      </c>
      <c r="CA14" s="284">
        <v>0</v>
      </c>
      <c r="CB14" s="284">
        <v>0</v>
      </c>
      <c r="CC14" s="284">
        <v>0</v>
      </c>
      <c r="CD14" s="284">
        <v>0</v>
      </c>
      <c r="CE14" s="284">
        <v>0</v>
      </c>
      <c r="CF14" s="284">
        <v>0</v>
      </c>
      <c r="CG14" s="284">
        <v>0</v>
      </c>
      <c r="CH14" s="284">
        <v>0</v>
      </c>
      <c r="CI14" s="284">
        <v>0</v>
      </c>
      <c r="CJ14" s="284">
        <v>0</v>
      </c>
      <c r="CK14" s="284">
        <v>0</v>
      </c>
      <c r="CL14" s="284">
        <v>0</v>
      </c>
      <c r="CM14" s="284">
        <v>0</v>
      </c>
      <c r="CN14" s="284">
        <v>0</v>
      </c>
      <c r="CO14" s="284">
        <v>0</v>
      </c>
      <c r="CP14" s="284">
        <v>0</v>
      </c>
      <c r="CQ14" s="284">
        <v>0</v>
      </c>
      <c r="CR14" s="284">
        <v>0</v>
      </c>
      <c r="CS14" s="284">
        <v>0</v>
      </c>
      <c r="CT14" s="284">
        <v>0</v>
      </c>
      <c r="CU14" s="284">
        <v>0</v>
      </c>
      <c r="CV14" s="284">
        <v>0</v>
      </c>
      <c r="CW14" s="284">
        <v>0</v>
      </c>
      <c r="CX14" s="284">
        <v>0</v>
      </c>
      <c r="CY14" s="284">
        <v>0</v>
      </c>
      <c r="CZ14" s="284">
        <v>0</v>
      </c>
      <c r="DA14" s="284">
        <v>0</v>
      </c>
      <c r="DB14" s="284">
        <v>0</v>
      </c>
      <c r="DC14" s="284">
        <v>0</v>
      </c>
      <c r="DD14" s="284">
        <v>0</v>
      </c>
      <c r="DE14" s="284">
        <v>0</v>
      </c>
      <c r="DF14" s="284">
        <v>0</v>
      </c>
      <c r="DG14" s="284">
        <v>0</v>
      </c>
      <c r="DH14" s="284">
        <v>0</v>
      </c>
      <c r="DI14" s="284">
        <v>0</v>
      </c>
      <c r="DJ14" s="284">
        <v>0</v>
      </c>
      <c r="DK14" s="284">
        <v>0</v>
      </c>
      <c r="DL14" s="284">
        <v>0</v>
      </c>
      <c r="DM14" s="284">
        <v>0</v>
      </c>
      <c r="DN14" s="284">
        <v>0</v>
      </c>
      <c r="DO14" s="284">
        <v>0</v>
      </c>
      <c r="DP14" s="284">
        <v>0</v>
      </c>
      <c r="DQ14" s="284">
        <v>0</v>
      </c>
      <c r="DR14" s="284">
        <v>0</v>
      </c>
      <c r="DS14" s="284">
        <v>2022</v>
      </c>
      <c r="DT14" s="284">
        <v>7</v>
      </c>
      <c r="DU14" s="284">
        <v>27</v>
      </c>
      <c r="DV14" s="284" t="s">
        <v>696</v>
      </c>
      <c r="DW14" s="284" t="s">
        <v>697</v>
      </c>
      <c r="DX14" s="284" t="s">
        <v>679</v>
      </c>
    </row>
    <row r="15" spans="1:128">
      <c r="A15" s="284">
        <v>13</v>
      </c>
      <c r="B15" s="284">
        <v>5499000</v>
      </c>
      <c r="C15" s="284">
        <v>0</v>
      </c>
      <c r="D15" s="284">
        <v>0</v>
      </c>
      <c r="E15" s="284">
        <v>0</v>
      </c>
      <c r="F15" s="284">
        <v>0</v>
      </c>
      <c r="G15" s="284">
        <v>0</v>
      </c>
      <c r="H15" s="284">
        <v>0</v>
      </c>
      <c r="I15" s="284">
        <v>0</v>
      </c>
      <c r="J15" s="284">
        <v>0</v>
      </c>
      <c r="K15" s="284">
        <v>0</v>
      </c>
      <c r="L15" s="284">
        <v>0</v>
      </c>
      <c r="M15" s="284">
        <v>0</v>
      </c>
      <c r="N15" s="284">
        <v>0</v>
      </c>
      <c r="O15" s="284">
        <v>0</v>
      </c>
      <c r="P15" s="284">
        <v>0</v>
      </c>
      <c r="Q15" s="284">
        <v>0</v>
      </c>
      <c r="R15" s="284">
        <v>0</v>
      </c>
      <c r="S15" s="284">
        <v>5499890</v>
      </c>
      <c r="T15" s="284">
        <v>0</v>
      </c>
      <c r="U15" s="284">
        <v>5499890</v>
      </c>
      <c r="V15" s="284">
        <v>5499890</v>
      </c>
      <c r="W15" s="284">
        <v>6588000</v>
      </c>
      <c r="X15" s="284">
        <v>5499890</v>
      </c>
      <c r="Y15" s="284">
        <v>5499890</v>
      </c>
      <c r="Z15" s="284">
        <v>5499000</v>
      </c>
      <c r="AA15" s="284">
        <v>0</v>
      </c>
      <c r="AB15" s="284">
        <v>0</v>
      </c>
      <c r="AC15" s="284">
        <v>0</v>
      </c>
      <c r="AD15" s="284">
        <v>0</v>
      </c>
      <c r="AE15" s="284">
        <v>0</v>
      </c>
      <c r="AF15" s="284">
        <v>0</v>
      </c>
      <c r="AG15" s="284">
        <v>0</v>
      </c>
      <c r="AH15" s="284">
        <v>0</v>
      </c>
      <c r="AI15" s="284">
        <v>0</v>
      </c>
      <c r="AJ15" s="284">
        <v>0</v>
      </c>
      <c r="AK15" s="284">
        <v>0</v>
      </c>
      <c r="AL15" s="284">
        <v>0</v>
      </c>
      <c r="AM15" s="284">
        <v>0</v>
      </c>
      <c r="AN15" s="284">
        <v>0</v>
      </c>
      <c r="AO15" s="284">
        <v>0</v>
      </c>
      <c r="AP15" s="284">
        <v>0</v>
      </c>
      <c r="AQ15" s="284">
        <v>0</v>
      </c>
      <c r="AR15" s="284">
        <v>0</v>
      </c>
      <c r="AS15" s="284">
        <v>0</v>
      </c>
      <c r="AT15" s="284">
        <v>0</v>
      </c>
      <c r="AU15" s="284">
        <v>0</v>
      </c>
      <c r="AV15" s="284">
        <v>0</v>
      </c>
      <c r="AW15" s="284">
        <v>0</v>
      </c>
      <c r="AX15" s="284">
        <v>0</v>
      </c>
      <c r="AY15" s="284">
        <v>0</v>
      </c>
      <c r="AZ15" s="284">
        <v>0</v>
      </c>
      <c r="BA15" s="284">
        <v>0</v>
      </c>
      <c r="BB15" s="284">
        <v>0</v>
      </c>
      <c r="BC15" s="284">
        <v>0</v>
      </c>
      <c r="BD15" s="284">
        <v>0</v>
      </c>
      <c r="BE15" s="284">
        <v>0</v>
      </c>
      <c r="BF15" s="284">
        <v>0</v>
      </c>
      <c r="BG15" s="284">
        <v>0</v>
      </c>
      <c r="BH15" s="284">
        <v>0</v>
      </c>
      <c r="BI15" s="284">
        <v>0</v>
      </c>
      <c r="BJ15" s="284">
        <v>0</v>
      </c>
      <c r="BK15" s="284">
        <v>0</v>
      </c>
      <c r="BL15" s="284">
        <v>0</v>
      </c>
      <c r="BM15" s="284">
        <v>0</v>
      </c>
      <c r="BN15" s="284">
        <v>0</v>
      </c>
      <c r="BO15" s="284">
        <v>0</v>
      </c>
      <c r="BP15" s="284">
        <v>0</v>
      </c>
      <c r="BQ15" s="284">
        <v>0</v>
      </c>
      <c r="BR15" s="284">
        <v>0</v>
      </c>
      <c r="BS15" s="284">
        <v>0</v>
      </c>
      <c r="BT15" s="284">
        <v>0</v>
      </c>
      <c r="BU15" s="284">
        <v>0</v>
      </c>
      <c r="BV15" s="284">
        <v>0</v>
      </c>
      <c r="BW15" s="284">
        <v>0</v>
      </c>
      <c r="BX15" s="284">
        <v>0</v>
      </c>
      <c r="BY15" s="284">
        <v>0</v>
      </c>
      <c r="BZ15" s="284">
        <v>0</v>
      </c>
      <c r="CA15" s="284">
        <v>0</v>
      </c>
      <c r="CB15" s="284">
        <v>0</v>
      </c>
      <c r="CC15" s="284">
        <v>0</v>
      </c>
      <c r="CD15" s="284">
        <v>0</v>
      </c>
      <c r="CE15" s="284">
        <v>0</v>
      </c>
      <c r="CF15" s="284">
        <v>0</v>
      </c>
      <c r="CG15" s="284">
        <v>0</v>
      </c>
      <c r="CH15" s="284">
        <v>0</v>
      </c>
      <c r="CI15" s="284">
        <v>0</v>
      </c>
      <c r="CJ15" s="284">
        <v>0</v>
      </c>
      <c r="CK15" s="284">
        <v>0</v>
      </c>
      <c r="CL15" s="284">
        <v>0</v>
      </c>
      <c r="CM15" s="284">
        <v>0</v>
      </c>
      <c r="CN15" s="284">
        <v>0</v>
      </c>
      <c r="CO15" s="284">
        <v>0</v>
      </c>
      <c r="CP15" s="284">
        <v>0</v>
      </c>
      <c r="CQ15" s="284">
        <v>0</v>
      </c>
      <c r="CR15" s="284">
        <v>0</v>
      </c>
      <c r="CS15" s="284">
        <v>0</v>
      </c>
      <c r="CT15" s="284">
        <v>0</v>
      </c>
      <c r="CU15" s="284">
        <v>0</v>
      </c>
      <c r="CV15" s="284">
        <v>0</v>
      </c>
      <c r="CW15" s="284">
        <v>0</v>
      </c>
      <c r="CX15" s="284">
        <v>0</v>
      </c>
      <c r="CY15" s="284">
        <v>0</v>
      </c>
      <c r="CZ15" s="284">
        <v>0</v>
      </c>
      <c r="DA15" s="284">
        <v>0</v>
      </c>
      <c r="DB15" s="284">
        <v>0</v>
      </c>
      <c r="DC15" s="284">
        <v>0</v>
      </c>
      <c r="DD15" s="284">
        <v>0</v>
      </c>
      <c r="DE15" s="284">
        <v>0</v>
      </c>
      <c r="DF15" s="284">
        <v>0</v>
      </c>
      <c r="DG15" s="284">
        <v>0</v>
      </c>
      <c r="DH15" s="284">
        <v>0</v>
      </c>
      <c r="DI15" s="284">
        <v>0</v>
      </c>
      <c r="DJ15" s="284">
        <v>0</v>
      </c>
      <c r="DK15" s="284">
        <v>0</v>
      </c>
      <c r="DL15" s="284">
        <v>0</v>
      </c>
      <c r="DM15" s="284">
        <v>0</v>
      </c>
      <c r="DN15" s="284">
        <v>0</v>
      </c>
      <c r="DO15" s="284">
        <v>0</v>
      </c>
      <c r="DP15" s="284">
        <v>0</v>
      </c>
      <c r="DQ15" s="284">
        <v>0</v>
      </c>
      <c r="DR15" s="284">
        <v>0</v>
      </c>
      <c r="DS15" s="284">
        <v>2022</v>
      </c>
      <c r="DT15" s="284">
        <v>7</v>
      </c>
      <c r="DU15" s="284">
        <v>27</v>
      </c>
      <c r="DV15" s="284" t="s">
        <v>682</v>
      </c>
      <c r="DW15" s="284" t="s">
        <v>698</v>
      </c>
      <c r="DX15" s="284" t="s">
        <v>699</v>
      </c>
    </row>
    <row r="16" spans="1:128">
      <c r="A16" s="284">
        <v>14</v>
      </c>
      <c r="B16" s="284">
        <v>664000</v>
      </c>
      <c r="C16" s="284">
        <v>0</v>
      </c>
      <c r="D16" s="284">
        <v>0</v>
      </c>
      <c r="E16" s="284">
        <v>0</v>
      </c>
      <c r="F16" s="284">
        <v>0</v>
      </c>
      <c r="G16" s="284">
        <v>0</v>
      </c>
      <c r="H16" s="284">
        <v>0</v>
      </c>
      <c r="I16" s="284">
        <v>0</v>
      </c>
      <c r="J16" s="284">
        <v>0</v>
      </c>
      <c r="K16" s="284">
        <v>0</v>
      </c>
      <c r="L16" s="284">
        <v>0</v>
      </c>
      <c r="M16" s="284">
        <v>0</v>
      </c>
      <c r="N16" s="284">
        <v>0</v>
      </c>
      <c r="O16" s="284">
        <v>0</v>
      </c>
      <c r="P16" s="284">
        <v>0</v>
      </c>
      <c r="Q16" s="284">
        <v>0</v>
      </c>
      <c r="R16" s="284">
        <v>0</v>
      </c>
      <c r="S16" s="284">
        <v>664616</v>
      </c>
      <c r="T16" s="284">
        <v>0</v>
      </c>
      <c r="U16" s="284">
        <v>664616</v>
      </c>
      <c r="V16" s="284">
        <v>664616</v>
      </c>
      <c r="W16" s="284">
        <v>11199600</v>
      </c>
      <c r="X16" s="284">
        <v>664616</v>
      </c>
      <c r="Y16" s="284">
        <v>664616</v>
      </c>
      <c r="Z16" s="284">
        <v>664000</v>
      </c>
      <c r="AA16" s="284">
        <v>0</v>
      </c>
      <c r="AB16" s="284">
        <v>0</v>
      </c>
      <c r="AC16" s="284">
        <v>0</v>
      </c>
      <c r="AD16" s="284">
        <v>0</v>
      </c>
      <c r="AE16" s="284">
        <v>0</v>
      </c>
      <c r="AF16" s="284">
        <v>0</v>
      </c>
      <c r="AG16" s="284">
        <v>0</v>
      </c>
      <c r="AH16" s="284">
        <v>0</v>
      </c>
      <c r="AI16" s="284">
        <v>0</v>
      </c>
      <c r="AJ16" s="284">
        <v>0</v>
      </c>
      <c r="AK16" s="284">
        <v>0</v>
      </c>
      <c r="AL16" s="284">
        <v>0</v>
      </c>
      <c r="AM16" s="284">
        <v>0</v>
      </c>
      <c r="AN16" s="284">
        <v>0</v>
      </c>
      <c r="AO16" s="284">
        <v>0</v>
      </c>
      <c r="AP16" s="284">
        <v>0</v>
      </c>
      <c r="AQ16" s="284">
        <v>0</v>
      </c>
      <c r="AR16" s="284">
        <v>0</v>
      </c>
      <c r="AS16" s="284">
        <v>0</v>
      </c>
      <c r="AT16" s="284">
        <v>0</v>
      </c>
      <c r="AU16" s="284">
        <v>0</v>
      </c>
      <c r="AV16" s="284">
        <v>0</v>
      </c>
      <c r="AW16" s="284">
        <v>0</v>
      </c>
      <c r="AX16" s="284">
        <v>0</v>
      </c>
      <c r="AY16" s="284">
        <v>0</v>
      </c>
      <c r="AZ16" s="284">
        <v>0</v>
      </c>
      <c r="BA16" s="284">
        <v>0</v>
      </c>
      <c r="BB16" s="284">
        <v>0</v>
      </c>
      <c r="BC16" s="284">
        <v>0</v>
      </c>
      <c r="BD16" s="284">
        <v>0</v>
      </c>
      <c r="BE16" s="284">
        <v>0</v>
      </c>
      <c r="BF16" s="284">
        <v>0</v>
      </c>
      <c r="BG16" s="284">
        <v>0</v>
      </c>
      <c r="BH16" s="284">
        <v>0</v>
      </c>
      <c r="BI16" s="284">
        <v>0</v>
      </c>
      <c r="BJ16" s="284">
        <v>0</v>
      </c>
      <c r="BK16" s="284">
        <v>0</v>
      </c>
      <c r="BL16" s="284">
        <v>0</v>
      </c>
      <c r="BM16" s="284">
        <v>0</v>
      </c>
      <c r="BN16" s="284">
        <v>0</v>
      </c>
      <c r="BO16" s="284">
        <v>0</v>
      </c>
      <c r="BP16" s="284">
        <v>0</v>
      </c>
      <c r="BQ16" s="284">
        <v>0</v>
      </c>
      <c r="BR16" s="284">
        <v>0</v>
      </c>
      <c r="BS16" s="284">
        <v>0</v>
      </c>
      <c r="BT16" s="284">
        <v>0</v>
      </c>
      <c r="BU16" s="284">
        <v>0</v>
      </c>
      <c r="BV16" s="284">
        <v>0</v>
      </c>
      <c r="BW16" s="284">
        <v>0</v>
      </c>
      <c r="BX16" s="284">
        <v>0</v>
      </c>
      <c r="BY16" s="284">
        <v>0</v>
      </c>
      <c r="BZ16" s="284">
        <v>0</v>
      </c>
      <c r="CA16" s="284">
        <v>0</v>
      </c>
      <c r="CB16" s="284">
        <v>0</v>
      </c>
      <c r="CC16" s="284">
        <v>0</v>
      </c>
      <c r="CD16" s="284">
        <v>0</v>
      </c>
      <c r="CE16" s="284">
        <v>0</v>
      </c>
      <c r="CF16" s="284">
        <v>0</v>
      </c>
      <c r="CG16" s="284">
        <v>0</v>
      </c>
      <c r="CH16" s="284">
        <v>0</v>
      </c>
      <c r="CI16" s="284">
        <v>0</v>
      </c>
      <c r="CJ16" s="284">
        <v>0</v>
      </c>
      <c r="CK16" s="284">
        <v>0</v>
      </c>
      <c r="CL16" s="284">
        <v>0</v>
      </c>
      <c r="CM16" s="284">
        <v>0</v>
      </c>
      <c r="CN16" s="284">
        <v>0</v>
      </c>
      <c r="CO16" s="284">
        <v>0</v>
      </c>
      <c r="CP16" s="284">
        <v>0</v>
      </c>
      <c r="CQ16" s="284">
        <v>0</v>
      </c>
      <c r="CR16" s="284">
        <v>0</v>
      </c>
      <c r="CS16" s="284">
        <v>0</v>
      </c>
      <c r="CT16" s="284">
        <v>0</v>
      </c>
      <c r="CU16" s="284">
        <v>0</v>
      </c>
      <c r="CV16" s="284">
        <v>0</v>
      </c>
      <c r="CW16" s="284">
        <v>0</v>
      </c>
      <c r="CX16" s="284">
        <v>0</v>
      </c>
      <c r="CY16" s="284">
        <v>0</v>
      </c>
      <c r="CZ16" s="284">
        <v>0</v>
      </c>
      <c r="DA16" s="284">
        <v>0</v>
      </c>
      <c r="DB16" s="284">
        <v>0</v>
      </c>
      <c r="DC16" s="284">
        <v>0</v>
      </c>
      <c r="DD16" s="284">
        <v>0</v>
      </c>
      <c r="DE16" s="284">
        <v>0</v>
      </c>
      <c r="DF16" s="284">
        <v>0</v>
      </c>
      <c r="DG16" s="284">
        <v>0</v>
      </c>
      <c r="DH16" s="284">
        <v>0</v>
      </c>
      <c r="DI16" s="284">
        <v>0</v>
      </c>
      <c r="DJ16" s="284">
        <v>0</v>
      </c>
      <c r="DK16" s="284">
        <v>0</v>
      </c>
      <c r="DL16" s="284">
        <v>0</v>
      </c>
      <c r="DM16" s="284">
        <v>0</v>
      </c>
      <c r="DN16" s="284">
        <v>0</v>
      </c>
      <c r="DO16" s="284">
        <v>0</v>
      </c>
      <c r="DP16" s="284">
        <v>0</v>
      </c>
      <c r="DQ16" s="284">
        <v>0</v>
      </c>
      <c r="DR16" s="284">
        <v>0</v>
      </c>
      <c r="DS16" s="284">
        <v>2022</v>
      </c>
      <c r="DT16" s="284">
        <v>7</v>
      </c>
      <c r="DU16" s="284">
        <v>27</v>
      </c>
      <c r="DV16" s="284" t="s">
        <v>684</v>
      </c>
      <c r="DW16" s="284" t="s">
        <v>700</v>
      </c>
      <c r="DX16" s="284" t="s">
        <v>679</v>
      </c>
    </row>
    <row r="17" spans="1:128">
      <c r="A17" s="284">
        <v>15</v>
      </c>
      <c r="B17" s="284">
        <v>3513000</v>
      </c>
      <c r="C17" s="284">
        <v>0</v>
      </c>
      <c r="D17" s="284">
        <v>0</v>
      </c>
      <c r="E17" s="284">
        <v>0</v>
      </c>
      <c r="F17" s="284">
        <v>0</v>
      </c>
      <c r="G17" s="284">
        <v>0</v>
      </c>
      <c r="H17" s="284">
        <v>0</v>
      </c>
      <c r="I17" s="284">
        <v>0</v>
      </c>
      <c r="J17" s="284">
        <v>0</v>
      </c>
      <c r="K17" s="284">
        <v>0</v>
      </c>
      <c r="L17" s="284">
        <v>0</v>
      </c>
      <c r="M17" s="284">
        <v>0</v>
      </c>
      <c r="N17" s="284">
        <v>0</v>
      </c>
      <c r="O17" s="284">
        <v>0</v>
      </c>
      <c r="P17" s="284">
        <v>0</v>
      </c>
      <c r="Q17" s="284">
        <v>0</v>
      </c>
      <c r="R17" s="284">
        <v>0</v>
      </c>
      <c r="S17" s="284">
        <v>3513615</v>
      </c>
      <c r="T17" s="284">
        <v>0</v>
      </c>
      <c r="U17" s="284">
        <v>3513615</v>
      </c>
      <c r="V17" s="284">
        <v>3513615</v>
      </c>
      <c r="W17" s="284">
        <v>4611600</v>
      </c>
      <c r="X17" s="284">
        <v>3513615</v>
      </c>
      <c r="Y17" s="284">
        <v>3513615</v>
      </c>
      <c r="Z17" s="284">
        <v>3513000</v>
      </c>
      <c r="AA17" s="284">
        <v>0</v>
      </c>
      <c r="AB17" s="284">
        <v>0</v>
      </c>
      <c r="AC17" s="284">
        <v>0</v>
      </c>
      <c r="AD17" s="284">
        <v>0</v>
      </c>
      <c r="AE17" s="284">
        <v>0</v>
      </c>
      <c r="AF17" s="284">
        <v>0</v>
      </c>
      <c r="AG17" s="284">
        <v>0</v>
      </c>
      <c r="AH17" s="284">
        <v>0</v>
      </c>
      <c r="AI17" s="284">
        <v>0</v>
      </c>
      <c r="AJ17" s="284">
        <v>0</v>
      </c>
      <c r="AK17" s="284">
        <v>0</v>
      </c>
      <c r="AL17" s="284">
        <v>0</v>
      </c>
      <c r="AM17" s="284">
        <v>0</v>
      </c>
      <c r="AN17" s="284">
        <v>0</v>
      </c>
      <c r="AO17" s="284">
        <v>0</v>
      </c>
      <c r="AP17" s="284">
        <v>0</v>
      </c>
      <c r="AQ17" s="284">
        <v>0</v>
      </c>
      <c r="AR17" s="284">
        <v>0</v>
      </c>
      <c r="AS17" s="284">
        <v>0</v>
      </c>
      <c r="AT17" s="284">
        <v>0</v>
      </c>
      <c r="AU17" s="284">
        <v>0</v>
      </c>
      <c r="AV17" s="284">
        <v>0</v>
      </c>
      <c r="AW17" s="284">
        <v>0</v>
      </c>
      <c r="AX17" s="284">
        <v>0</v>
      </c>
      <c r="AY17" s="284">
        <v>0</v>
      </c>
      <c r="AZ17" s="284">
        <v>0</v>
      </c>
      <c r="BA17" s="284">
        <v>0</v>
      </c>
      <c r="BB17" s="284">
        <v>0</v>
      </c>
      <c r="BC17" s="284">
        <v>0</v>
      </c>
      <c r="BD17" s="284">
        <v>0</v>
      </c>
      <c r="BE17" s="284">
        <v>0</v>
      </c>
      <c r="BF17" s="284">
        <v>0</v>
      </c>
      <c r="BG17" s="284">
        <v>0</v>
      </c>
      <c r="BH17" s="284">
        <v>0</v>
      </c>
      <c r="BI17" s="284">
        <v>0</v>
      </c>
      <c r="BJ17" s="284">
        <v>0</v>
      </c>
      <c r="BK17" s="284">
        <v>0</v>
      </c>
      <c r="BL17" s="284">
        <v>0</v>
      </c>
      <c r="BM17" s="284">
        <v>0</v>
      </c>
      <c r="BN17" s="284">
        <v>0</v>
      </c>
      <c r="BO17" s="284">
        <v>0</v>
      </c>
      <c r="BP17" s="284">
        <v>0</v>
      </c>
      <c r="BQ17" s="284">
        <v>0</v>
      </c>
      <c r="BR17" s="284">
        <v>0</v>
      </c>
      <c r="BS17" s="284">
        <v>0</v>
      </c>
      <c r="BT17" s="284">
        <v>0</v>
      </c>
      <c r="BU17" s="284">
        <v>0</v>
      </c>
      <c r="BV17" s="284">
        <v>0</v>
      </c>
      <c r="BW17" s="284">
        <v>0</v>
      </c>
      <c r="BX17" s="284">
        <v>0</v>
      </c>
      <c r="BY17" s="284">
        <v>0</v>
      </c>
      <c r="BZ17" s="284">
        <v>0</v>
      </c>
      <c r="CA17" s="284">
        <v>0</v>
      </c>
      <c r="CB17" s="284">
        <v>0</v>
      </c>
      <c r="CC17" s="284">
        <v>0</v>
      </c>
      <c r="CD17" s="284">
        <v>0</v>
      </c>
      <c r="CE17" s="284">
        <v>0</v>
      </c>
      <c r="CF17" s="284">
        <v>0</v>
      </c>
      <c r="CG17" s="284">
        <v>0</v>
      </c>
      <c r="CH17" s="284">
        <v>0</v>
      </c>
      <c r="CI17" s="284">
        <v>0</v>
      </c>
      <c r="CJ17" s="284">
        <v>0</v>
      </c>
      <c r="CK17" s="284">
        <v>0</v>
      </c>
      <c r="CL17" s="284">
        <v>0</v>
      </c>
      <c r="CM17" s="284">
        <v>0</v>
      </c>
      <c r="CN17" s="284">
        <v>0</v>
      </c>
      <c r="CO17" s="284">
        <v>0</v>
      </c>
      <c r="CP17" s="284">
        <v>0</v>
      </c>
      <c r="CQ17" s="284">
        <v>0</v>
      </c>
      <c r="CR17" s="284">
        <v>0</v>
      </c>
      <c r="CS17" s="284">
        <v>0</v>
      </c>
      <c r="CT17" s="284">
        <v>0</v>
      </c>
      <c r="CU17" s="284">
        <v>0</v>
      </c>
      <c r="CV17" s="284">
        <v>0</v>
      </c>
      <c r="CW17" s="284">
        <v>0</v>
      </c>
      <c r="CX17" s="284">
        <v>0</v>
      </c>
      <c r="CY17" s="284">
        <v>0</v>
      </c>
      <c r="CZ17" s="284">
        <v>0</v>
      </c>
      <c r="DA17" s="284">
        <v>0</v>
      </c>
      <c r="DB17" s="284">
        <v>0</v>
      </c>
      <c r="DC17" s="284">
        <v>0</v>
      </c>
      <c r="DD17" s="284">
        <v>0</v>
      </c>
      <c r="DE17" s="284">
        <v>0</v>
      </c>
      <c r="DF17" s="284">
        <v>0</v>
      </c>
      <c r="DG17" s="284">
        <v>0</v>
      </c>
      <c r="DH17" s="284">
        <v>0</v>
      </c>
      <c r="DI17" s="284">
        <v>0</v>
      </c>
      <c r="DJ17" s="284">
        <v>0</v>
      </c>
      <c r="DK17" s="284">
        <v>0</v>
      </c>
      <c r="DL17" s="284">
        <v>0</v>
      </c>
      <c r="DM17" s="284">
        <v>0</v>
      </c>
      <c r="DN17" s="284">
        <v>0</v>
      </c>
      <c r="DO17" s="284">
        <v>0</v>
      </c>
      <c r="DP17" s="284">
        <v>0</v>
      </c>
      <c r="DQ17" s="284">
        <v>0</v>
      </c>
      <c r="DR17" s="284">
        <v>0</v>
      </c>
      <c r="DS17" s="284">
        <v>2022</v>
      </c>
      <c r="DT17" s="284">
        <v>7</v>
      </c>
      <c r="DU17" s="284">
        <v>27</v>
      </c>
      <c r="DV17" s="284" t="s">
        <v>684</v>
      </c>
      <c r="DW17" s="284" t="s">
        <v>700</v>
      </c>
      <c r="DX17" s="284" t="s">
        <v>679</v>
      </c>
    </row>
    <row r="18" spans="1:128">
      <c r="A18" s="284">
        <v>16</v>
      </c>
      <c r="B18" s="284">
        <v>1360000</v>
      </c>
      <c r="C18" s="284">
        <v>0</v>
      </c>
      <c r="D18" s="284">
        <v>0</v>
      </c>
      <c r="E18" s="284">
        <v>0</v>
      </c>
      <c r="F18" s="284">
        <v>0</v>
      </c>
      <c r="G18" s="284">
        <v>0</v>
      </c>
      <c r="H18" s="284">
        <v>0</v>
      </c>
      <c r="I18" s="284">
        <v>0</v>
      </c>
      <c r="J18" s="284">
        <v>0</v>
      </c>
      <c r="K18" s="284">
        <v>0</v>
      </c>
      <c r="L18" s="284">
        <v>0</v>
      </c>
      <c r="M18" s="284">
        <v>0</v>
      </c>
      <c r="N18" s="284">
        <v>0</v>
      </c>
      <c r="O18" s="284">
        <v>0</v>
      </c>
      <c r="P18" s="284">
        <v>0</v>
      </c>
      <c r="Q18" s="284">
        <v>0</v>
      </c>
      <c r="R18" s="284">
        <v>0</v>
      </c>
      <c r="S18" s="284">
        <v>1360300</v>
      </c>
      <c r="T18" s="284">
        <v>0</v>
      </c>
      <c r="U18" s="284">
        <v>1360300</v>
      </c>
      <c r="V18" s="284">
        <v>1360300</v>
      </c>
      <c r="W18" s="284">
        <v>7246800</v>
      </c>
      <c r="X18" s="284">
        <v>1360300</v>
      </c>
      <c r="Y18" s="284">
        <v>1360300</v>
      </c>
      <c r="Z18" s="284">
        <v>1360000</v>
      </c>
      <c r="AA18" s="284">
        <v>0</v>
      </c>
      <c r="AB18" s="284">
        <v>0</v>
      </c>
      <c r="AC18" s="284">
        <v>0</v>
      </c>
      <c r="AD18" s="284">
        <v>0</v>
      </c>
      <c r="AE18" s="284">
        <v>0</v>
      </c>
      <c r="AF18" s="284">
        <v>0</v>
      </c>
      <c r="AG18" s="284">
        <v>0</v>
      </c>
      <c r="AH18" s="284">
        <v>0</v>
      </c>
      <c r="AI18" s="284">
        <v>0</v>
      </c>
      <c r="AJ18" s="284">
        <v>0</v>
      </c>
      <c r="AK18" s="284">
        <v>0</v>
      </c>
      <c r="AL18" s="284">
        <v>0</v>
      </c>
      <c r="AM18" s="284">
        <v>0</v>
      </c>
      <c r="AN18" s="284">
        <v>0</v>
      </c>
      <c r="AO18" s="284">
        <v>0</v>
      </c>
      <c r="AP18" s="284">
        <v>0</v>
      </c>
      <c r="AQ18" s="284">
        <v>0</v>
      </c>
      <c r="AR18" s="284">
        <v>0</v>
      </c>
      <c r="AS18" s="284">
        <v>0</v>
      </c>
      <c r="AT18" s="284">
        <v>0</v>
      </c>
      <c r="AU18" s="284">
        <v>0</v>
      </c>
      <c r="AV18" s="284">
        <v>0</v>
      </c>
      <c r="AW18" s="284">
        <v>0</v>
      </c>
      <c r="AX18" s="284">
        <v>0</v>
      </c>
      <c r="AY18" s="284">
        <v>0</v>
      </c>
      <c r="AZ18" s="284">
        <v>0</v>
      </c>
      <c r="BA18" s="284">
        <v>0</v>
      </c>
      <c r="BB18" s="284">
        <v>0</v>
      </c>
      <c r="BC18" s="284">
        <v>0</v>
      </c>
      <c r="BD18" s="284">
        <v>0</v>
      </c>
      <c r="BE18" s="284">
        <v>0</v>
      </c>
      <c r="BF18" s="284">
        <v>0</v>
      </c>
      <c r="BG18" s="284">
        <v>0</v>
      </c>
      <c r="BH18" s="284">
        <v>0</v>
      </c>
      <c r="BI18" s="284">
        <v>0</v>
      </c>
      <c r="BJ18" s="284">
        <v>0</v>
      </c>
      <c r="BK18" s="284">
        <v>0</v>
      </c>
      <c r="BL18" s="284">
        <v>0</v>
      </c>
      <c r="BM18" s="284">
        <v>0</v>
      </c>
      <c r="BN18" s="284">
        <v>0</v>
      </c>
      <c r="BO18" s="284">
        <v>0</v>
      </c>
      <c r="BP18" s="284">
        <v>0</v>
      </c>
      <c r="BQ18" s="284">
        <v>0</v>
      </c>
      <c r="BR18" s="284">
        <v>0</v>
      </c>
      <c r="BS18" s="284">
        <v>0</v>
      </c>
      <c r="BT18" s="284">
        <v>0</v>
      </c>
      <c r="BU18" s="284">
        <v>0</v>
      </c>
      <c r="BV18" s="284">
        <v>0</v>
      </c>
      <c r="BW18" s="284">
        <v>0</v>
      </c>
      <c r="BX18" s="284">
        <v>0</v>
      </c>
      <c r="BY18" s="284">
        <v>0</v>
      </c>
      <c r="BZ18" s="284">
        <v>0</v>
      </c>
      <c r="CA18" s="284">
        <v>0</v>
      </c>
      <c r="CB18" s="284">
        <v>0</v>
      </c>
      <c r="CC18" s="284">
        <v>0</v>
      </c>
      <c r="CD18" s="284">
        <v>0</v>
      </c>
      <c r="CE18" s="284">
        <v>0</v>
      </c>
      <c r="CF18" s="284">
        <v>0</v>
      </c>
      <c r="CG18" s="284">
        <v>0</v>
      </c>
      <c r="CH18" s="284">
        <v>0</v>
      </c>
      <c r="CI18" s="284">
        <v>0</v>
      </c>
      <c r="CJ18" s="284">
        <v>0</v>
      </c>
      <c r="CK18" s="284">
        <v>0</v>
      </c>
      <c r="CL18" s="284">
        <v>0</v>
      </c>
      <c r="CM18" s="284">
        <v>0</v>
      </c>
      <c r="CN18" s="284">
        <v>0</v>
      </c>
      <c r="CO18" s="284">
        <v>0</v>
      </c>
      <c r="CP18" s="284">
        <v>0</v>
      </c>
      <c r="CQ18" s="284">
        <v>0</v>
      </c>
      <c r="CR18" s="284">
        <v>0</v>
      </c>
      <c r="CS18" s="284">
        <v>0</v>
      </c>
      <c r="CT18" s="284">
        <v>0</v>
      </c>
      <c r="CU18" s="284">
        <v>0</v>
      </c>
      <c r="CV18" s="284">
        <v>0</v>
      </c>
      <c r="CW18" s="284">
        <v>0</v>
      </c>
      <c r="CX18" s="284">
        <v>0</v>
      </c>
      <c r="CY18" s="284">
        <v>0</v>
      </c>
      <c r="CZ18" s="284">
        <v>0</v>
      </c>
      <c r="DA18" s="284">
        <v>0</v>
      </c>
      <c r="DB18" s="284">
        <v>0</v>
      </c>
      <c r="DC18" s="284">
        <v>0</v>
      </c>
      <c r="DD18" s="284">
        <v>0</v>
      </c>
      <c r="DE18" s="284">
        <v>0</v>
      </c>
      <c r="DF18" s="284">
        <v>0</v>
      </c>
      <c r="DG18" s="284">
        <v>0</v>
      </c>
      <c r="DH18" s="284">
        <v>0</v>
      </c>
      <c r="DI18" s="284">
        <v>0</v>
      </c>
      <c r="DJ18" s="284">
        <v>0</v>
      </c>
      <c r="DK18" s="284">
        <v>0</v>
      </c>
      <c r="DL18" s="284">
        <v>0</v>
      </c>
      <c r="DM18" s="284">
        <v>0</v>
      </c>
      <c r="DN18" s="284">
        <v>0</v>
      </c>
      <c r="DO18" s="284">
        <v>0</v>
      </c>
      <c r="DP18" s="284">
        <v>0</v>
      </c>
      <c r="DQ18" s="284">
        <v>0</v>
      </c>
      <c r="DR18" s="284">
        <v>0</v>
      </c>
      <c r="DS18" s="284">
        <v>2022</v>
      </c>
      <c r="DT18" s="284">
        <v>7</v>
      </c>
      <c r="DU18" s="284">
        <v>27</v>
      </c>
      <c r="DV18" s="284" t="s">
        <v>684</v>
      </c>
      <c r="DW18" s="284" t="s">
        <v>700</v>
      </c>
      <c r="DX18" s="284" t="s">
        <v>679</v>
      </c>
    </row>
    <row r="19" spans="1:128">
      <c r="A19" s="284">
        <v>17</v>
      </c>
      <c r="B19" s="284">
        <v>1154000</v>
      </c>
      <c r="C19" s="284">
        <v>0</v>
      </c>
      <c r="D19" s="284">
        <v>0</v>
      </c>
      <c r="E19" s="284">
        <v>0</v>
      </c>
      <c r="F19" s="284">
        <v>0</v>
      </c>
      <c r="G19" s="284">
        <v>0</v>
      </c>
      <c r="H19" s="284">
        <v>0</v>
      </c>
      <c r="I19" s="284">
        <v>0</v>
      </c>
      <c r="J19" s="284">
        <v>0</v>
      </c>
      <c r="K19" s="284">
        <v>0</v>
      </c>
      <c r="L19" s="284">
        <v>0</v>
      </c>
      <c r="M19" s="284">
        <v>0</v>
      </c>
      <c r="N19" s="284">
        <v>0</v>
      </c>
      <c r="O19" s="284">
        <v>0</v>
      </c>
      <c r="P19" s="284">
        <v>0</v>
      </c>
      <c r="Q19" s="284">
        <v>0</v>
      </c>
      <c r="R19" s="284">
        <v>0</v>
      </c>
      <c r="S19" s="284">
        <v>1154150</v>
      </c>
      <c r="T19" s="284">
        <v>0</v>
      </c>
      <c r="U19" s="284">
        <v>1154150</v>
      </c>
      <c r="V19" s="284">
        <v>1154150</v>
      </c>
      <c r="W19" s="284">
        <v>7246800</v>
      </c>
      <c r="X19" s="284">
        <v>1154150</v>
      </c>
      <c r="Y19" s="284">
        <v>1154150</v>
      </c>
      <c r="Z19" s="284">
        <v>1154000</v>
      </c>
      <c r="AA19" s="284">
        <v>0</v>
      </c>
      <c r="AB19" s="284">
        <v>0</v>
      </c>
      <c r="AC19" s="284">
        <v>0</v>
      </c>
      <c r="AD19" s="284">
        <v>0</v>
      </c>
      <c r="AE19" s="284">
        <v>0</v>
      </c>
      <c r="AF19" s="284">
        <v>0</v>
      </c>
      <c r="AG19" s="284">
        <v>0</v>
      </c>
      <c r="AH19" s="284">
        <v>0</v>
      </c>
      <c r="AI19" s="284">
        <v>0</v>
      </c>
      <c r="AJ19" s="284">
        <v>0</v>
      </c>
      <c r="AK19" s="284">
        <v>0</v>
      </c>
      <c r="AL19" s="284">
        <v>0</v>
      </c>
      <c r="AM19" s="284">
        <v>0</v>
      </c>
      <c r="AN19" s="284">
        <v>0</v>
      </c>
      <c r="AO19" s="284">
        <v>0</v>
      </c>
      <c r="AP19" s="284">
        <v>0</v>
      </c>
      <c r="AQ19" s="284">
        <v>0</v>
      </c>
      <c r="AR19" s="284">
        <v>0</v>
      </c>
      <c r="AS19" s="284">
        <v>0</v>
      </c>
      <c r="AT19" s="284">
        <v>0</v>
      </c>
      <c r="AU19" s="284">
        <v>0</v>
      </c>
      <c r="AV19" s="284">
        <v>0</v>
      </c>
      <c r="AW19" s="284">
        <v>0</v>
      </c>
      <c r="AX19" s="284">
        <v>0</v>
      </c>
      <c r="AY19" s="284">
        <v>0</v>
      </c>
      <c r="AZ19" s="284">
        <v>0</v>
      </c>
      <c r="BA19" s="284">
        <v>0</v>
      </c>
      <c r="BB19" s="284">
        <v>0</v>
      </c>
      <c r="BC19" s="284">
        <v>0</v>
      </c>
      <c r="BD19" s="284">
        <v>0</v>
      </c>
      <c r="BE19" s="284">
        <v>0</v>
      </c>
      <c r="BF19" s="284">
        <v>0</v>
      </c>
      <c r="BG19" s="284">
        <v>0</v>
      </c>
      <c r="BH19" s="284">
        <v>0</v>
      </c>
      <c r="BI19" s="284">
        <v>0</v>
      </c>
      <c r="BJ19" s="284">
        <v>0</v>
      </c>
      <c r="BK19" s="284">
        <v>0</v>
      </c>
      <c r="BL19" s="284">
        <v>0</v>
      </c>
      <c r="BM19" s="284">
        <v>0</v>
      </c>
      <c r="BN19" s="284">
        <v>0</v>
      </c>
      <c r="BO19" s="284">
        <v>0</v>
      </c>
      <c r="BP19" s="284">
        <v>0</v>
      </c>
      <c r="BQ19" s="284">
        <v>0</v>
      </c>
      <c r="BR19" s="284">
        <v>0</v>
      </c>
      <c r="BS19" s="284">
        <v>0</v>
      </c>
      <c r="BT19" s="284">
        <v>0</v>
      </c>
      <c r="BU19" s="284">
        <v>0</v>
      </c>
      <c r="BV19" s="284">
        <v>0</v>
      </c>
      <c r="BW19" s="284">
        <v>0</v>
      </c>
      <c r="BX19" s="284">
        <v>0</v>
      </c>
      <c r="BY19" s="284">
        <v>0</v>
      </c>
      <c r="BZ19" s="284">
        <v>0</v>
      </c>
      <c r="CA19" s="284">
        <v>0</v>
      </c>
      <c r="CB19" s="284">
        <v>0</v>
      </c>
      <c r="CC19" s="284">
        <v>0</v>
      </c>
      <c r="CD19" s="284">
        <v>0</v>
      </c>
      <c r="CE19" s="284">
        <v>0</v>
      </c>
      <c r="CF19" s="284">
        <v>0</v>
      </c>
      <c r="CG19" s="284">
        <v>0</v>
      </c>
      <c r="CH19" s="284">
        <v>0</v>
      </c>
      <c r="CI19" s="284">
        <v>0</v>
      </c>
      <c r="CJ19" s="284">
        <v>0</v>
      </c>
      <c r="CK19" s="284">
        <v>0</v>
      </c>
      <c r="CL19" s="284">
        <v>0</v>
      </c>
      <c r="CM19" s="284">
        <v>0</v>
      </c>
      <c r="CN19" s="284">
        <v>0</v>
      </c>
      <c r="CO19" s="284">
        <v>0</v>
      </c>
      <c r="CP19" s="284">
        <v>0</v>
      </c>
      <c r="CQ19" s="284">
        <v>0</v>
      </c>
      <c r="CR19" s="284">
        <v>0</v>
      </c>
      <c r="CS19" s="284">
        <v>0</v>
      </c>
      <c r="CT19" s="284">
        <v>0</v>
      </c>
      <c r="CU19" s="284">
        <v>0</v>
      </c>
      <c r="CV19" s="284">
        <v>0</v>
      </c>
      <c r="CW19" s="284">
        <v>0</v>
      </c>
      <c r="CX19" s="284">
        <v>0</v>
      </c>
      <c r="CY19" s="284">
        <v>0</v>
      </c>
      <c r="CZ19" s="284">
        <v>0</v>
      </c>
      <c r="DA19" s="284">
        <v>0</v>
      </c>
      <c r="DB19" s="284">
        <v>0</v>
      </c>
      <c r="DC19" s="284">
        <v>0</v>
      </c>
      <c r="DD19" s="284">
        <v>0</v>
      </c>
      <c r="DE19" s="284">
        <v>0</v>
      </c>
      <c r="DF19" s="284">
        <v>0</v>
      </c>
      <c r="DG19" s="284">
        <v>0</v>
      </c>
      <c r="DH19" s="284">
        <v>0</v>
      </c>
      <c r="DI19" s="284">
        <v>0</v>
      </c>
      <c r="DJ19" s="284">
        <v>0</v>
      </c>
      <c r="DK19" s="284">
        <v>0</v>
      </c>
      <c r="DL19" s="284">
        <v>0</v>
      </c>
      <c r="DM19" s="284">
        <v>0</v>
      </c>
      <c r="DN19" s="284">
        <v>0</v>
      </c>
      <c r="DO19" s="284">
        <v>0</v>
      </c>
      <c r="DP19" s="284">
        <v>0</v>
      </c>
      <c r="DQ19" s="284">
        <v>0</v>
      </c>
      <c r="DR19" s="284">
        <v>0</v>
      </c>
      <c r="DS19" s="284">
        <v>2022</v>
      </c>
      <c r="DT19" s="284">
        <v>7</v>
      </c>
      <c r="DU19" s="284">
        <v>27</v>
      </c>
      <c r="DV19" s="284" t="s">
        <v>684</v>
      </c>
      <c r="DW19" s="284" t="s">
        <v>700</v>
      </c>
      <c r="DX19" s="284" t="s">
        <v>679</v>
      </c>
    </row>
    <row r="20" spans="1:128">
      <c r="A20" s="284">
        <v>18</v>
      </c>
      <c r="B20" s="284">
        <v>9798000</v>
      </c>
      <c r="C20" s="284">
        <v>0</v>
      </c>
      <c r="D20" s="284">
        <v>0</v>
      </c>
      <c r="E20" s="284">
        <v>0</v>
      </c>
      <c r="F20" s="284">
        <v>0</v>
      </c>
      <c r="G20" s="284">
        <v>0</v>
      </c>
      <c r="H20" s="284">
        <v>0</v>
      </c>
      <c r="I20" s="284">
        <v>0</v>
      </c>
      <c r="J20" s="284">
        <v>0</v>
      </c>
      <c r="K20" s="284">
        <v>0</v>
      </c>
      <c r="L20" s="284">
        <v>0</v>
      </c>
      <c r="M20" s="284">
        <v>0</v>
      </c>
      <c r="N20" s="284">
        <v>0</v>
      </c>
      <c r="O20" s="284">
        <v>0</v>
      </c>
      <c r="P20" s="284">
        <v>0</v>
      </c>
      <c r="Q20" s="284">
        <v>0</v>
      </c>
      <c r="R20" s="284">
        <v>0</v>
      </c>
      <c r="S20" s="284">
        <v>9798562</v>
      </c>
      <c r="T20" s="284">
        <v>0</v>
      </c>
      <c r="U20" s="284">
        <v>9798562</v>
      </c>
      <c r="V20" s="284">
        <v>9798562</v>
      </c>
      <c r="W20" s="284">
        <v>10540800</v>
      </c>
      <c r="X20" s="284">
        <v>9798562</v>
      </c>
      <c r="Y20" s="284">
        <v>9798562</v>
      </c>
      <c r="Z20" s="284">
        <v>9798000</v>
      </c>
      <c r="AA20" s="284">
        <v>0</v>
      </c>
      <c r="AB20" s="284">
        <v>0</v>
      </c>
      <c r="AC20" s="284">
        <v>0</v>
      </c>
      <c r="AD20" s="284">
        <v>0</v>
      </c>
      <c r="AE20" s="284">
        <v>0</v>
      </c>
      <c r="AF20" s="284">
        <v>0</v>
      </c>
      <c r="AG20" s="284">
        <v>0</v>
      </c>
      <c r="AH20" s="284">
        <v>0</v>
      </c>
      <c r="AI20" s="284">
        <v>0</v>
      </c>
      <c r="AJ20" s="284">
        <v>0</v>
      </c>
      <c r="AK20" s="284">
        <v>0</v>
      </c>
      <c r="AL20" s="284">
        <v>0</v>
      </c>
      <c r="AM20" s="284">
        <v>0</v>
      </c>
      <c r="AN20" s="284">
        <v>0</v>
      </c>
      <c r="AO20" s="284">
        <v>0</v>
      </c>
      <c r="AP20" s="284">
        <v>0</v>
      </c>
      <c r="AQ20" s="284">
        <v>0</v>
      </c>
      <c r="AR20" s="284">
        <v>0</v>
      </c>
      <c r="AS20" s="284">
        <v>0</v>
      </c>
      <c r="AT20" s="284">
        <v>0</v>
      </c>
      <c r="AU20" s="284">
        <v>0</v>
      </c>
      <c r="AV20" s="284">
        <v>0</v>
      </c>
      <c r="AW20" s="284">
        <v>0</v>
      </c>
      <c r="AX20" s="284">
        <v>0</v>
      </c>
      <c r="AY20" s="284">
        <v>0</v>
      </c>
      <c r="AZ20" s="284">
        <v>0</v>
      </c>
      <c r="BA20" s="284">
        <v>0</v>
      </c>
      <c r="BB20" s="284">
        <v>0</v>
      </c>
      <c r="BC20" s="284">
        <v>0</v>
      </c>
      <c r="BD20" s="284">
        <v>0</v>
      </c>
      <c r="BE20" s="284">
        <v>0</v>
      </c>
      <c r="BF20" s="284">
        <v>0</v>
      </c>
      <c r="BG20" s="284">
        <v>0</v>
      </c>
      <c r="BH20" s="284">
        <v>0</v>
      </c>
      <c r="BI20" s="284">
        <v>0</v>
      </c>
      <c r="BJ20" s="284">
        <v>0</v>
      </c>
      <c r="BK20" s="284">
        <v>0</v>
      </c>
      <c r="BL20" s="284">
        <v>0</v>
      </c>
      <c r="BM20" s="284">
        <v>0</v>
      </c>
      <c r="BN20" s="284">
        <v>0</v>
      </c>
      <c r="BO20" s="284">
        <v>0</v>
      </c>
      <c r="BP20" s="284">
        <v>0</v>
      </c>
      <c r="BQ20" s="284">
        <v>0</v>
      </c>
      <c r="BR20" s="284">
        <v>0</v>
      </c>
      <c r="BS20" s="284">
        <v>0</v>
      </c>
      <c r="BT20" s="284">
        <v>0</v>
      </c>
      <c r="BU20" s="284">
        <v>0</v>
      </c>
      <c r="BV20" s="284">
        <v>0</v>
      </c>
      <c r="BW20" s="284">
        <v>0</v>
      </c>
      <c r="BX20" s="284">
        <v>0</v>
      </c>
      <c r="BY20" s="284">
        <v>0</v>
      </c>
      <c r="BZ20" s="284">
        <v>0</v>
      </c>
      <c r="CA20" s="284">
        <v>0</v>
      </c>
      <c r="CB20" s="284">
        <v>0</v>
      </c>
      <c r="CC20" s="284">
        <v>0</v>
      </c>
      <c r="CD20" s="284">
        <v>0</v>
      </c>
      <c r="CE20" s="284">
        <v>0</v>
      </c>
      <c r="CF20" s="284">
        <v>0</v>
      </c>
      <c r="CG20" s="284">
        <v>0</v>
      </c>
      <c r="CH20" s="284">
        <v>0</v>
      </c>
      <c r="CI20" s="284">
        <v>0</v>
      </c>
      <c r="CJ20" s="284">
        <v>0</v>
      </c>
      <c r="CK20" s="284">
        <v>0</v>
      </c>
      <c r="CL20" s="284">
        <v>0</v>
      </c>
      <c r="CM20" s="284">
        <v>0</v>
      </c>
      <c r="CN20" s="284">
        <v>0</v>
      </c>
      <c r="CO20" s="284">
        <v>0</v>
      </c>
      <c r="CP20" s="284">
        <v>0</v>
      </c>
      <c r="CQ20" s="284">
        <v>0</v>
      </c>
      <c r="CR20" s="284">
        <v>0</v>
      </c>
      <c r="CS20" s="284">
        <v>0</v>
      </c>
      <c r="CT20" s="284">
        <v>0</v>
      </c>
      <c r="CU20" s="284">
        <v>0</v>
      </c>
      <c r="CV20" s="284">
        <v>0</v>
      </c>
      <c r="CW20" s="284">
        <v>0</v>
      </c>
      <c r="CX20" s="284">
        <v>0</v>
      </c>
      <c r="CY20" s="284">
        <v>0</v>
      </c>
      <c r="CZ20" s="284">
        <v>0</v>
      </c>
      <c r="DA20" s="284">
        <v>0</v>
      </c>
      <c r="DB20" s="284">
        <v>0</v>
      </c>
      <c r="DC20" s="284">
        <v>0</v>
      </c>
      <c r="DD20" s="284">
        <v>0</v>
      </c>
      <c r="DE20" s="284">
        <v>0</v>
      </c>
      <c r="DF20" s="284">
        <v>0</v>
      </c>
      <c r="DG20" s="284">
        <v>0</v>
      </c>
      <c r="DH20" s="284">
        <v>0</v>
      </c>
      <c r="DI20" s="284">
        <v>0</v>
      </c>
      <c r="DJ20" s="284">
        <v>0</v>
      </c>
      <c r="DK20" s="284">
        <v>0</v>
      </c>
      <c r="DL20" s="284">
        <v>0</v>
      </c>
      <c r="DM20" s="284">
        <v>0</v>
      </c>
      <c r="DN20" s="284">
        <v>0</v>
      </c>
      <c r="DO20" s="284">
        <v>0</v>
      </c>
      <c r="DP20" s="284">
        <v>0</v>
      </c>
      <c r="DQ20" s="284">
        <v>0</v>
      </c>
      <c r="DR20" s="284">
        <v>0</v>
      </c>
      <c r="DS20" s="284">
        <v>2022</v>
      </c>
      <c r="DT20" s="284">
        <v>7</v>
      </c>
      <c r="DU20" s="284">
        <v>27</v>
      </c>
      <c r="DV20" s="284" t="s">
        <v>684</v>
      </c>
      <c r="DW20" s="284" t="s">
        <v>700</v>
      </c>
      <c r="DX20" s="284" t="s">
        <v>679</v>
      </c>
    </row>
    <row r="21" spans="1:128">
      <c r="A21" s="284">
        <v>19</v>
      </c>
      <c r="B21" s="284">
        <v>13176000</v>
      </c>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4"/>
      <c r="BA21" s="284"/>
      <c r="BB21" s="284"/>
      <c r="BC21" s="284"/>
      <c r="BD21" s="284"/>
      <c r="BE21" s="284"/>
      <c r="BF21" s="284"/>
      <c r="BG21" s="284"/>
      <c r="BH21" s="284"/>
      <c r="BI21" s="284"/>
      <c r="BJ21" s="284"/>
      <c r="BK21" s="284"/>
      <c r="BL21" s="284"/>
      <c r="BM21" s="284"/>
      <c r="BN21" s="284"/>
      <c r="BO21" s="284"/>
      <c r="BP21" s="284"/>
      <c r="BQ21" s="284"/>
      <c r="BR21" s="284"/>
      <c r="BS21" s="284"/>
      <c r="BT21" s="284"/>
      <c r="BU21" s="284"/>
      <c r="BV21" s="284"/>
      <c r="BW21" s="284"/>
      <c r="BX21" s="284"/>
      <c r="BY21" s="284"/>
      <c r="BZ21" s="284"/>
      <c r="CA21" s="284"/>
      <c r="CB21" s="284"/>
      <c r="CC21" s="284"/>
      <c r="CD21" s="284"/>
      <c r="CE21" s="284"/>
      <c r="CF21" s="284"/>
      <c r="CG21" s="284"/>
      <c r="CH21" s="284"/>
      <c r="CI21" s="284"/>
      <c r="CJ21" s="284"/>
      <c r="CK21" s="284"/>
      <c r="CL21" s="284"/>
      <c r="CM21" s="284"/>
      <c r="CN21" s="284"/>
      <c r="CO21" s="284"/>
      <c r="CP21" s="284"/>
      <c r="CQ21" s="284"/>
      <c r="CR21" s="284"/>
      <c r="CS21" s="284"/>
      <c r="CT21" s="284"/>
      <c r="CU21" s="284"/>
      <c r="CV21" s="284"/>
      <c r="CW21" s="284"/>
      <c r="CX21" s="284"/>
      <c r="CY21" s="284"/>
      <c r="CZ21" s="284"/>
      <c r="DA21" s="284"/>
      <c r="DB21" s="284"/>
      <c r="DC21" s="284"/>
      <c r="DD21" s="284"/>
      <c r="DE21" s="284"/>
      <c r="DF21" s="284"/>
      <c r="DG21" s="284"/>
      <c r="DH21" s="284"/>
      <c r="DI21" s="284"/>
      <c r="DJ21" s="284"/>
      <c r="DK21" s="284"/>
      <c r="DL21" s="284"/>
      <c r="DM21" s="284"/>
      <c r="DN21" s="284"/>
      <c r="DO21" s="284"/>
      <c r="DP21" s="284"/>
      <c r="DQ21" s="284"/>
      <c r="DR21" s="284"/>
      <c r="DS21" s="284">
        <v>2022</v>
      </c>
      <c r="DT21" s="284">
        <v>9</v>
      </c>
      <c r="DU21" s="284">
        <v>22</v>
      </c>
      <c r="DV21" s="284" t="s">
        <v>701</v>
      </c>
      <c r="DW21" s="284" t="s">
        <v>702</v>
      </c>
      <c r="DX21" s="284" t="s">
        <v>679</v>
      </c>
    </row>
    <row r="22" spans="1:128">
      <c r="A22" s="284">
        <v>20</v>
      </c>
      <c r="B22" s="284">
        <v>4271000</v>
      </c>
      <c r="C22" s="284">
        <v>0</v>
      </c>
      <c r="D22" s="284">
        <v>0</v>
      </c>
      <c r="E22" s="284">
        <v>0</v>
      </c>
      <c r="F22" s="284">
        <v>0</v>
      </c>
      <c r="G22" s="284">
        <v>0</v>
      </c>
      <c r="H22" s="284">
        <v>0</v>
      </c>
      <c r="I22" s="284">
        <v>0</v>
      </c>
      <c r="J22" s="284">
        <v>0</v>
      </c>
      <c r="K22" s="284">
        <v>0</v>
      </c>
      <c r="L22" s="284">
        <v>0</v>
      </c>
      <c r="M22" s="284">
        <v>0</v>
      </c>
      <c r="N22" s="284">
        <v>0</v>
      </c>
      <c r="O22" s="284">
        <v>0</v>
      </c>
      <c r="P22" s="284">
        <v>0</v>
      </c>
      <c r="Q22" s="284">
        <v>0</v>
      </c>
      <c r="R22" s="284">
        <v>0</v>
      </c>
      <c r="S22" s="284">
        <v>4271597</v>
      </c>
      <c r="T22" s="284">
        <v>0</v>
      </c>
      <c r="U22" s="284">
        <v>4271597</v>
      </c>
      <c r="V22" s="284">
        <v>4271597</v>
      </c>
      <c r="W22" s="284">
        <v>26352000</v>
      </c>
      <c r="X22" s="284">
        <v>4271597</v>
      </c>
      <c r="Y22" s="284">
        <v>4271597</v>
      </c>
      <c r="Z22" s="284">
        <v>4271000</v>
      </c>
      <c r="AA22" s="284">
        <v>0</v>
      </c>
      <c r="AB22" s="284">
        <v>0</v>
      </c>
      <c r="AC22" s="284">
        <v>0</v>
      </c>
      <c r="AD22" s="284">
        <v>0</v>
      </c>
      <c r="AE22" s="284">
        <v>0</v>
      </c>
      <c r="AF22" s="284">
        <v>0</v>
      </c>
      <c r="AG22" s="284">
        <v>0</v>
      </c>
      <c r="AH22" s="284">
        <v>0</v>
      </c>
      <c r="AI22" s="284">
        <v>0</v>
      </c>
      <c r="AJ22" s="284">
        <v>0</v>
      </c>
      <c r="AK22" s="284">
        <v>0</v>
      </c>
      <c r="AL22" s="284">
        <v>0</v>
      </c>
      <c r="AM22" s="284">
        <v>0</v>
      </c>
      <c r="AN22" s="284">
        <v>0</v>
      </c>
      <c r="AO22" s="284">
        <v>0</v>
      </c>
      <c r="AP22" s="284">
        <v>0</v>
      </c>
      <c r="AQ22" s="284">
        <v>0</v>
      </c>
      <c r="AR22" s="284">
        <v>0</v>
      </c>
      <c r="AS22" s="284">
        <v>0</v>
      </c>
      <c r="AT22" s="284">
        <v>0</v>
      </c>
      <c r="AU22" s="284">
        <v>0</v>
      </c>
      <c r="AV22" s="284">
        <v>0</v>
      </c>
      <c r="AW22" s="284">
        <v>0</v>
      </c>
      <c r="AX22" s="284">
        <v>0</v>
      </c>
      <c r="AY22" s="284">
        <v>0</v>
      </c>
      <c r="AZ22" s="284">
        <v>0</v>
      </c>
      <c r="BA22" s="284">
        <v>0</v>
      </c>
      <c r="BB22" s="284">
        <v>0</v>
      </c>
      <c r="BC22" s="284">
        <v>0</v>
      </c>
      <c r="BD22" s="284">
        <v>0</v>
      </c>
      <c r="BE22" s="284">
        <v>0</v>
      </c>
      <c r="BF22" s="284">
        <v>0</v>
      </c>
      <c r="BG22" s="284">
        <v>0</v>
      </c>
      <c r="BH22" s="284">
        <v>0</v>
      </c>
      <c r="BI22" s="284">
        <v>0</v>
      </c>
      <c r="BJ22" s="284">
        <v>0</v>
      </c>
      <c r="BK22" s="284">
        <v>0</v>
      </c>
      <c r="BL22" s="284">
        <v>0</v>
      </c>
      <c r="BM22" s="284">
        <v>0</v>
      </c>
      <c r="BN22" s="284">
        <v>0</v>
      </c>
      <c r="BO22" s="284">
        <v>0</v>
      </c>
      <c r="BP22" s="284">
        <v>0</v>
      </c>
      <c r="BQ22" s="284">
        <v>0</v>
      </c>
      <c r="BR22" s="284">
        <v>0</v>
      </c>
      <c r="BS22" s="284">
        <v>0</v>
      </c>
      <c r="BT22" s="284">
        <v>0</v>
      </c>
      <c r="BU22" s="284">
        <v>0</v>
      </c>
      <c r="BV22" s="284">
        <v>0</v>
      </c>
      <c r="BW22" s="284">
        <v>0</v>
      </c>
      <c r="BX22" s="284">
        <v>0</v>
      </c>
      <c r="BY22" s="284">
        <v>0</v>
      </c>
      <c r="BZ22" s="284">
        <v>0</v>
      </c>
      <c r="CA22" s="284">
        <v>0</v>
      </c>
      <c r="CB22" s="284">
        <v>0</v>
      </c>
      <c r="CC22" s="284">
        <v>0</v>
      </c>
      <c r="CD22" s="284">
        <v>0</v>
      </c>
      <c r="CE22" s="284">
        <v>0</v>
      </c>
      <c r="CF22" s="284">
        <v>0</v>
      </c>
      <c r="CG22" s="284">
        <v>0</v>
      </c>
      <c r="CH22" s="284">
        <v>0</v>
      </c>
      <c r="CI22" s="284">
        <v>0</v>
      </c>
      <c r="CJ22" s="284">
        <v>0</v>
      </c>
      <c r="CK22" s="284">
        <v>0</v>
      </c>
      <c r="CL22" s="284">
        <v>0</v>
      </c>
      <c r="CM22" s="284">
        <v>0</v>
      </c>
      <c r="CN22" s="284">
        <v>0</v>
      </c>
      <c r="CO22" s="284">
        <v>0</v>
      </c>
      <c r="CP22" s="284">
        <v>0</v>
      </c>
      <c r="CQ22" s="284">
        <v>0</v>
      </c>
      <c r="CR22" s="284">
        <v>0</v>
      </c>
      <c r="CS22" s="284">
        <v>0</v>
      </c>
      <c r="CT22" s="284">
        <v>0</v>
      </c>
      <c r="CU22" s="284">
        <v>0</v>
      </c>
      <c r="CV22" s="284">
        <v>0</v>
      </c>
      <c r="CW22" s="284">
        <v>0</v>
      </c>
      <c r="CX22" s="284">
        <v>0</v>
      </c>
      <c r="CY22" s="284">
        <v>0</v>
      </c>
      <c r="CZ22" s="284">
        <v>0</v>
      </c>
      <c r="DA22" s="284">
        <v>0</v>
      </c>
      <c r="DB22" s="284">
        <v>0</v>
      </c>
      <c r="DC22" s="284">
        <v>0</v>
      </c>
      <c r="DD22" s="284">
        <v>0</v>
      </c>
      <c r="DE22" s="284">
        <v>0</v>
      </c>
      <c r="DF22" s="284">
        <v>0</v>
      </c>
      <c r="DG22" s="284">
        <v>0</v>
      </c>
      <c r="DH22" s="284">
        <v>0</v>
      </c>
      <c r="DI22" s="284">
        <v>0</v>
      </c>
      <c r="DJ22" s="284">
        <v>0</v>
      </c>
      <c r="DK22" s="284">
        <v>0</v>
      </c>
      <c r="DL22" s="284">
        <v>0</v>
      </c>
      <c r="DM22" s="284">
        <v>0</v>
      </c>
      <c r="DN22" s="284">
        <v>0</v>
      </c>
      <c r="DO22" s="284">
        <v>0</v>
      </c>
      <c r="DP22" s="284">
        <v>0</v>
      </c>
      <c r="DQ22" s="284">
        <v>0</v>
      </c>
      <c r="DR22" s="284">
        <v>0</v>
      </c>
      <c r="DS22" s="284">
        <v>2022</v>
      </c>
      <c r="DT22" s="284">
        <v>7</v>
      </c>
      <c r="DU22" s="284">
        <v>27</v>
      </c>
      <c r="DV22" s="284" t="s">
        <v>682</v>
      </c>
      <c r="DW22" s="284" t="s">
        <v>703</v>
      </c>
      <c r="DX22" s="284" t="s">
        <v>679</v>
      </c>
    </row>
    <row r="23" spans="1:128">
      <c r="A23" s="284">
        <v>21</v>
      </c>
      <c r="B23" s="284">
        <v>17519000</v>
      </c>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284"/>
      <c r="AT23" s="284"/>
      <c r="AU23" s="284"/>
      <c r="AV23" s="284"/>
      <c r="AW23" s="284"/>
      <c r="AX23" s="284"/>
      <c r="AY23" s="284"/>
      <c r="AZ23" s="284"/>
      <c r="BA23" s="284"/>
      <c r="BB23" s="284"/>
      <c r="BC23" s="284"/>
      <c r="BD23" s="284"/>
      <c r="BE23" s="284"/>
      <c r="BF23" s="284"/>
      <c r="BG23" s="284"/>
      <c r="BH23" s="284"/>
      <c r="BI23" s="284"/>
      <c r="BJ23" s="284"/>
      <c r="BK23" s="284"/>
      <c r="BL23" s="284"/>
      <c r="BM23" s="284"/>
      <c r="BN23" s="284"/>
      <c r="BO23" s="284"/>
      <c r="BP23" s="284"/>
      <c r="BQ23" s="284"/>
      <c r="BR23" s="284"/>
      <c r="BS23" s="284"/>
      <c r="BT23" s="284"/>
      <c r="BU23" s="284"/>
      <c r="BV23" s="284"/>
      <c r="BW23" s="284"/>
      <c r="BX23" s="284"/>
      <c r="BY23" s="284"/>
      <c r="BZ23" s="284"/>
      <c r="CA23" s="284"/>
      <c r="CB23" s="284"/>
      <c r="CC23" s="284"/>
      <c r="CD23" s="284"/>
      <c r="CE23" s="284"/>
      <c r="CF23" s="284"/>
      <c r="CG23" s="284"/>
      <c r="CH23" s="284"/>
      <c r="CI23" s="284"/>
      <c r="CJ23" s="284"/>
      <c r="CK23" s="284"/>
      <c r="CL23" s="284"/>
      <c r="CM23" s="284"/>
      <c r="CN23" s="284"/>
      <c r="CO23" s="284"/>
      <c r="CP23" s="284"/>
      <c r="CQ23" s="284"/>
      <c r="CR23" s="284"/>
      <c r="CS23" s="284"/>
      <c r="CT23" s="284"/>
      <c r="CU23" s="284"/>
      <c r="CV23" s="284"/>
      <c r="CW23" s="284"/>
      <c r="CX23" s="284"/>
      <c r="CY23" s="284"/>
      <c r="CZ23" s="284"/>
      <c r="DA23" s="284"/>
      <c r="DB23" s="284"/>
      <c r="DC23" s="284"/>
      <c r="DD23" s="284"/>
      <c r="DE23" s="284"/>
      <c r="DF23" s="284"/>
      <c r="DG23" s="284"/>
      <c r="DH23" s="284"/>
      <c r="DI23" s="284"/>
      <c r="DJ23" s="284"/>
      <c r="DK23" s="284"/>
      <c r="DL23" s="284"/>
      <c r="DM23" s="284"/>
      <c r="DN23" s="284"/>
      <c r="DO23" s="284"/>
      <c r="DP23" s="284"/>
      <c r="DQ23" s="284"/>
      <c r="DR23" s="284"/>
      <c r="DS23" s="284">
        <v>2022</v>
      </c>
      <c r="DT23" s="284">
        <v>9</v>
      </c>
      <c r="DU23" s="284">
        <v>22</v>
      </c>
      <c r="DV23" s="284" t="s">
        <v>704</v>
      </c>
      <c r="DW23" s="284" t="s">
        <v>705</v>
      </c>
      <c r="DX23" s="284" t="s">
        <v>679</v>
      </c>
    </row>
    <row r="24" spans="1:128">
      <c r="A24" s="284">
        <v>22</v>
      </c>
      <c r="B24" s="284">
        <v>864000</v>
      </c>
      <c r="C24" s="284">
        <v>0</v>
      </c>
      <c r="D24" s="284">
        <v>0</v>
      </c>
      <c r="E24" s="284">
        <v>0</v>
      </c>
      <c r="F24" s="284">
        <v>0</v>
      </c>
      <c r="G24" s="284">
        <v>0</v>
      </c>
      <c r="H24" s="284">
        <v>0</v>
      </c>
      <c r="I24" s="284">
        <v>0</v>
      </c>
      <c r="J24" s="284">
        <v>0</v>
      </c>
      <c r="K24" s="284">
        <v>0</v>
      </c>
      <c r="L24" s="284">
        <v>0</v>
      </c>
      <c r="M24" s="284">
        <v>0</v>
      </c>
      <c r="N24" s="284">
        <v>0</v>
      </c>
      <c r="O24" s="284">
        <v>0</v>
      </c>
      <c r="P24" s="284">
        <v>0</v>
      </c>
      <c r="Q24" s="284">
        <v>0</v>
      </c>
      <c r="R24" s="284">
        <v>0</v>
      </c>
      <c r="S24" s="284">
        <v>924440</v>
      </c>
      <c r="T24" s="284">
        <v>0</v>
      </c>
      <c r="U24" s="284">
        <v>924440</v>
      </c>
      <c r="V24" s="284">
        <v>924440</v>
      </c>
      <c r="W24" s="284">
        <v>864000</v>
      </c>
      <c r="X24" s="284">
        <v>864000</v>
      </c>
      <c r="Y24" s="284">
        <v>864000</v>
      </c>
      <c r="Z24" s="284">
        <v>864000</v>
      </c>
      <c r="AA24" s="284">
        <v>0</v>
      </c>
      <c r="AB24" s="284">
        <v>0</v>
      </c>
      <c r="AC24" s="284">
        <v>0</v>
      </c>
      <c r="AD24" s="284">
        <v>0</v>
      </c>
      <c r="AE24" s="284">
        <v>0</v>
      </c>
      <c r="AF24" s="284">
        <v>0</v>
      </c>
      <c r="AG24" s="284">
        <v>0</v>
      </c>
      <c r="AH24" s="284">
        <v>0</v>
      </c>
      <c r="AI24" s="284">
        <v>0</v>
      </c>
      <c r="AJ24" s="284">
        <v>0</v>
      </c>
      <c r="AK24" s="284">
        <v>0</v>
      </c>
      <c r="AL24" s="284">
        <v>0</v>
      </c>
      <c r="AM24" s="284">
        <v>0</v>
      </c>
      <c r="AN24" s="284">
        <v>0</v>
      </c>
      <c r="AO24" s="284">
        <v>0</v>
      </c>
      <c r="AP24" s="284">
        <v>0</v>
      </c>
      <c r="AQ24" s="284">
        <v>0</v>
      </c>
      <c r="AR24" s="284">
        <v>0</v>
      </c>
      <c r="AS24" s="284">
        <v>0</v>
      </c>
      <c r="AT24" s="284">
        <v>0</v>
      </c>
      <c r="AU24" s="284">
        <v>0</v>
      </c>
      <c r="AV24" s="284">
        <v>0</v>
      </c>
      <c r="AW24" s="284">
        <v>0</v>
      </c>
      <c r="AX24" s="284">
        <v>0</v>
      </c>
      <c r="AY24" s="284">
        <v>0</v>
      </c>
      <c r="AZ24" s="284">
        <v>0</v>
      </c>
      <c r="BA24" s="284">
        <v>0</v>
      </c>
      <c r="BB24" s="284">
        <v>0</v>
      </c>
      <c r="BC24" s="284">
        <v>0</v>
      </c>
      <c r="BD24" s="284">
        <v>0</v>
      </c>
      <c r="BE24" s="284">
        <v>0</v>
      </c>
      <c r="BF24" s="284">
        <v>0</v>
      </c>
      <c r="BG24" s="284">
        <v>0</v>
      </c>
      <c r="BH24" s="284">
        <v>0</v>
      </c>
      <c r="BI24" s="284">
        <v>0</v>
      </c>
      <c r="BJ24" s="284">
        <v>0</v>
      </c>
      <c r="BK24" s="284">
        <v>0</v>
      </c>
      <c r="BL24" s="284">
        <v>0</v>
      </c>
      <c r="BM24" s="284">
        <v>0</v>
      </c>
      <c r="BN24" s="284">
        <v>0</v>
      </c>
      <c r="BO24" s="284">
        <v>0</v>
      </c>
      <c r="BP24" s="284">
        <v>0</v>
      </c>
      <c r="BQ24" s="284">
        <v>0</v>
      </c>
      <c r="BR24" s="284">
        <v>0</v>
      </c>
      <c r="BS24" s="284">
        <v>0</v>
      </c>
      <c r="BT24" s="284">
        <v>0</v>
      </c>
      <c r="BU24" s="284">
        <v>0</v>
      </c>
      <c r="BV24" s="284">
        <v>0</v>
      </c>
      <c r="BW24" s="284">
        <v>0</v>
      </c>
      <c r="BX24" s="284">
        <v>0</v>
      </c>
      <c r="BY24" s="284">
        <v>0</v>
      </c>
      <c r="BZ24" s="284">
        <v>0</v>
      </c>
      <c r="CA24" s="284">
        <v>0</v>
      </c>
      <c r="CB24" s="284">
        <v>0</v>
      </c>
      <c r="CC24" s="284">
        <v>0</v>
      </c>
      <c r="CD24" s="284">
        <v>0</v>
      </c>
      <c r="CE24" s="284">
        <v>0</v>
      </c>
      <c r="CF24" s="284">
        <v>0</v>
      </c>
      <c r="CG24" s="284">
        <v>0</v>
      </c>
      <c r="CH24" s="284">
        <v>0</v>
      </c>
      <c r="CI24" s="284">
        <v>0</v>
      </c>
      <c r="CJ24" s="284">
        <v>0</v>
      </c>
      <c r="CK24" s="284">
        <v>0</v>
      </c>
      <c r="CL24" s="284">
        <v>0</v>
      </c>
      <c r="CM24" s="284">
        <v>0</v>
      </c>
      <c r="CN24" s="284">
        <v>0</v>
      </c>
      <c r="CO24" s="284">
        <v>0</v>
      </c>
      <c r="CP24" s="284">
        <v>0</v>
      </c>
      <c r="CQ24" s="284">
        <v>0</v>
      </c>
      <c r="CR24" s="284">
        <v>0</v>
      </c>
      <c r="CS24" s="284">
        <v>0</v>
      </c>
      <c r="CT24" s="284">
        <v>0</v>
      </c>
      <c r="CU24" s="284">
        <v>0</v>
      </c>
      <c r="CV24" s="284">
        <v>0</v>
      </c>
      <c r="CW24" s="284">
        <v>0</v>
      </c>
      <c r="CX24" s="284">
        <v>0</v>
      </c>
      <c r="CY24" s="284">
        <v>0</v>
      </c>
      <c r="CZ24" s="284">
        <v>0</v>
      </c>
      <c r="DA24" s="284">
        <v>0</v>
      </c>
      <c r="DB24" s="284">
        <v>0</v>
      </c>
      <c r="DC24" s="284">
        <v>0</v>
      </c>
      <c r="DD24" s="284">
        <v>0</v>
      </c>
      <c r="DE24" s="284">
        <v>0</v>
      </c>
      <c r="DF24" s="284">
        <v>0</v>
      </c>
      <c r="DG24" s="284">
        <v>0</v>
      </c>
      <c r="DH24" s="284">
        <v>0</v>
      </c>
      <c r="DI24" s="284">
        <v>0</v>
      </c>
      <c r="DJ24" s="284">
        <v>0</v>
      </c>
      <c r="DK24" s="284">
        <v>0</v>
      </c>
      <c r="DL24" s="284">
        <v>0</v>
      </c>
      <c r="DM24" s="284">
        <v>0</v>
      </c>
      <c r="DN24" s="284">
        <v>0</v>
      </c>
      <c r="DO24" s="284">
        <v>0</v>
      </c>
      <c r="DP24" s="284">
        <v>0</v>
      </c>
      <c r="DQ24" s="284">
        <v>0</v>
      </c>
      <c r="DR24" s="284">
        <v>0</v>
      </c>
      <c r="DS24" s="284">
        <v>2022</v>
      </c>
      <c r="DT24" s="284">
        <v>7</v>
      </c>
      <c r="DU24" s="284">
        <v>27</v>
      </c>
      <c r="DV24" s="284" t="s">
        <v>682</v>
      </c>
      <c r="DW24" s="284" t="s">
        <v>706</v>
      </c>
      <c r="DX24" s="284" t="s">
        <v>679</v>
      </c>
    </row>
    <row r="25" spans="1:128">
      <c r="A25" s="284">
        <v>23</v>
      </c>
      <c r="B25" s="284">
        <v>5462000</v>
      </c>
      <c r="C25" s="284">
        <v>0</v>
      </c>
      <c r="D25" s="284">
        <v>0</v>
      </c>
      <c r="E25" s="284">
        <v>0</v>
      </c>
      <c r="F25" s="284">
        <v>0</v>
      </c>
      <c r="G25" s="284">
        <v>0</v>
      </c>
      <c r="H25" s="284">
        <v>0</v>
      </c>
      <c r="I25" s="284">
        <v>0</v>
      </c>
      <c r="J25" s="284">
        <v>0</v>
      </c>
      <c r="K25" s="284">
        <v>0</v>
      </c>
      <c r="L25" s="284">
        <v>0</v>
      </c>
      <c r="M25" s="284">
        <v>0</v>
      </c>
      <c r="N25" s="284">
        <v>0</v>
      </c>
      <c r="O25" s="284">
        <v>0</v>
      </c>
      <c r="P25" s="284">
        <v>0</v>
      </c>
      <c r="Q25" s="284">
        <v>0</v>
      </c>
      <c r="R25" s="284">
        <v>0</v>
      </c>
      <c r="S25" s="284">
        <v>5462233.7000000002</v>
      </c>
      <c r="T25" s="284">
        <v>0</v>
      </c>
      <c r="U25" s="284">
        <v>5462233.7000000002</v>
      </c>
      <c r="V25" s="284">
        <v>5462233.7000000002</v>
      </c>
      <c r="W25" s="284">
        <v>26352000</v>
      </c>
      <c r="X25" s="284">
        <v>5462233.7000000002</v>
      </c>
      <c r="Y25" s="284">
        <v>5462233.7000000002</v>
      </c>
      <c r="Z25" s="284">
        <v>5462000</v>
      </c>
      <c r="AA25" s="284">
        <v>0</v>
      </c>
      <c r="AB25" s="284">
        <v>0</v>
      </c>
      <c r="AC25" s="284">
        <v>0</v>
      </c>
      <c r="AD25" s="284">
        <v>0</v>
      </c>
      <c r="AE25" s="284">
        <v>0</v>
      </c>
      <c r="AF25" s="284">
        <v>0</v>
      </c>
      <c r="AG25" s="284">
        <v>0</v>
      </c>
      <c r="AH25" s="284">
        <v>0</v>
      </c>
      <c r="AI25" s="284">
        <v>0</v>
      </c>
      <c r="AJ25" s="284">
        <v>0</v>
      </c>
      <c r="AK25" s="284">
        <v>0</v>
      </c>
      <c r="AL25" s="284">
        <v>0</v>
      </c>
      <c r="AM25" s="284">
        <v>0</v>
      </c>
      <c r="AN25" s="284">
        <v>0</v>
      </c>
      <c r="AO25" s="284">
        <v>0</v>
      </c>
      <c r="AP25" s="284">
        <v>0</v>
      </c>
      <c r="AQ25" s="284">
        <v>0</v>
      </c>
      <c r="AR25" s="284">
        <v>0</v>
      </c>
      <c r="AS25" s="284">
        <v>0</v>
      </c>
      <c r="AT25" s="284">
        <v>0</v>
      </c>
      <c r="AU25" s="284">
        <v>0</v>
      </c>
      <c r="AV25" s="284">
        <v>0</v>
      </c>
      <c r="AW25" s="284">
        <v>0</v>
      </c>
      <c r="AX25" s="284">
        <v>0</v>
      </c>
      <c r="AY25" s="284">
        <v>0</v>
      </c>
      <c r="AZ25" s="284">
        <v>0</v>
      </c>
      <c r="BA25" s="284">
        <v>0</v>
      </c>
      <c r="BB25" s="284">
        <v>0</v>
      </c>
      <c r="BC25" s="284">
        <v>0</v>
      </c>
      <c r="BD25" s="284">
        <v>0</v>
      </c>
      <c r="BE25" s="284">
        <v>0</v>
      </c>
      <c r="BF25" s="284">
        <v>0</v>
      </c>
      <c r="BG25" s="284">
        <v>0</v>
      </c>
      <c r="BH25" s="284">
        <v>0</v>
      </c>
      <c r="BI25" s="284">
        <v>0</v>
      </c>
      <c r="BJ25" s="284">
        <v>0</v>
      </c>
      <c r="BK25" s="284">
        <v>0</v>
      </c>
      <c r="BL25" s="284">
        <v>0</v>
      </c>
      <c r="BM25" s="284">
        <v>0</v>
      </c>
      <c r="BN25" s="284">
        <v>0</v>
      </c>
      <c r="BO25" s="284">
        <v>0</v>
      </c>
      <c r="BP25" s="284">
        <v>0</v>
      </c>
      <c r="BQ25" s="284">
        <v>0</v>
      </c>
      <c r="BR25" s="284">
        <v>0</v>
      </c>
      <c r="BS25" s="284">
        <v>0</v>
      </c>
      <c r="BT25" s="284">
        <v>0</v>
      </c>
      <c r="BU25" s="284">
        <v>0</v>
      </c>
      <c r="BV25" s="284">
        <v>0</v>
      </c>
      <c r="BW25" s="284">
        <v>0</v>
      </c>
      <c r="BX25" s="284">
        <v>0</v>
      </c>
      <c r="BY25" s="284">
        <v>0</v>
      </c>
      <c r="BZ25" s="284">
        <v>0</v>
      </c>
      <c r="CA25" s="284">
        <v>0</v>
      </c>
      <c r="CB25" s="284">
        <v>0</v>
      </c>
      <c r="CC25" s="284">
        <v>0</v>
      </c>
      <c r="CD25" s="284">
        <v>0</v>
      </c>
      <c r="CE25" s="284">
        <v>0</v>
      </c>
      <c r="CF25" s="284">
        <v>0</v>
      </c>
      <c r="CG25" s="284">
        <v>0</v>
      </c>
      <c r="CH25" s="284">
        <v>0</v>
      </c>
      <c r="CI25" s="284">
        <v>0</v>
      </c>
      <c r="CJ25" s="284">
        <v>0</v>
      </c>
      <c r="CK25" s="284">
        <v>0</v>
      </c>
      <c r="CL25" s="284">
        <v>0</v>
      </c>
      <c r="CM25" s="284">
        <v>0</v>
      </c>
      <c r="CN25" s="284">
        <v>0</v>
      </c>
      <c r="CO25" s="284">
        <v>0</v>
      </c>
      <c r="CP25" s="284">
        <v>0</v>
      </c>
      <c r="CQ25" s="284">
        <v>0</v>
      </c>
      <c r="CR25" s="284">
        <v>0</v>
      </c>
      <c r="CS25" s="284">
        <v>0</v>
      </c>
      <c r="CT25" s="284">
        <v>0</v>
      </c>
      <c r="CU25" s="284">
        <v>0</v>
      </c>
      <c r="CV25" s="284">
        <v>0</v>
      </c>
      <c r="CW25" s="284">
        <v>0</v>
      </c>
      <c r="CX25" s="284">
        <v>0</v>
      </c>
      <c r="CY25" s="284">
        <v>0</v>
      </c>
      <c r="CZ25" s="284">
        <v>0</v>
      </c>
      <c r="DA25" s="284">
        <v>0</v>
      </c>
      <c r="DB25" s="284">
        <v>0</v>
      </c>
      <c r="DC25" s="284">
        <v>0</v>
      </c>
      <c r="DD25" s="284">
        <v>0</v>
      </c>
      <c r="DE25" s="284">
        <v>0</v>
      </c>
      <c r="DF25" s="284">
        <v>0</v>
      </c>
      <c r="DG25" s="284">
        <v>0</v>
      </c>
      <c r="DH25" s="284">
        <v>0</v>
      </c>
      <c r="DI25" s="284">
        <v>0</v>
      </c>
      <c r="DJ25" s="284">
        <v>0</v>
      </c>
      <c r="DK25" s="284">
        <v>0</v>
      </c>
      <c r="DL25" s="284">
        <v>0</v>
      </c>
      <c r="DM25" s="284">
        <v>0</v>
      </c>
      <c r="DN25" s="284">
        <v>0</v>
      </c>
      <c r="DO25" s="284">
        <v>0</v>
      </c>
      <c r="DP25" s="284">
        <v>0</v>
      </c>
      <c r="DQ25" s="284">
        <v>0</v>
      </c>
      <c r="DR25" s="284">
        <v>0</v>
      </c>
      <c r="DS25" s="284">
        <v>2022</v>
      </c>
      <c r="DT25" s="284">
        <v>7</v>
      </c>
      <c r="DU25" s="284">
        <v>27</v>
      </c>
      <c r="DV25" s="284" t="s">
        <v>682</v>
      </c>
      <c r="DW25" s="284" t="s">
        <v>707</v>
      </c>
      <c r="DX25" s="284" t="s">
        <v>679</v>
      </c>
    </row>
    <row r="26" spans="1:128">
      <c r="A26" s="284">
        <v>24</v>
      </c>
      <c r="B26" s="284">
        <v>585000</v>
      </c>
      <c r="C26" s="284">
        <v>0</v>
      </c>
      <c r="D26" s="284">
        <v>0</v>
      </c>
      <c r="E26" s="284">
        <v>0</v>
      </c>
      <c r="F26" s="284">
        <v>0</v>
      </c>
      <c r="G26" s="284">
        <v>0</v>
      </c>
      <c r="H26" s="284">
        <v>0</v>
      </c>
      <c r="I26" s="284">
        <v>0</v>
      </c>
      <c r="J26" s="284">
        <v>0</v>
      </c>
      <c r="K26" s="284">
        <v>0</v>
      </c>
      <c r="L26" s="284">
        <v>0</v>
      </c>
      <c r="M26" s="284">
        <v>0</v>
      </c>
      <c r="N26" s="284">
        <v>0</v>
      </c>
      <c r="O26" s="284">
        <v>0</v>
      </c>
      <c r="P26" s="284">
        <v>0</v>
      </c>
      <c r="Q26" s="284">
        <v>0</v>
      </c>
      <c r="R26" s="284">
        <v>0</v>
      </c>
      <c r="S26" s="284">
        <v>585200</v>
      </c>
      <c r="T26" s="284">
        <v>0</v>
      </c>
      <c r="U26" s="284">
        <v>585200</v>
      </c>
      <c r="V26" s="284">
        <v>585200</v>
      </c>
      <c r="W26" s="284">
        <v>1296000</v>
      </c>
      <c r="X26" s="284">
        <v>585200</v>
      </c>
      <c r="Y26" s="284">
        <v>585200</v>
      </c>
      <c r="Z26" s="284">
        <v>585000</v>
      </c>
      <c r="AA26" s="284">
        <v>0</v>
      </c>
      <c r="AB26" s="284">
        <v>0</v>
      </c>
      <c r="AC26" s="284">
        <v>0</v>
      </c>
      <c r="AD26" s="284">
        <v>0</v>
      </c>
      <c r="AE26" s="284">
        <v>0</v>
      </c>
      <c r="AF26" s="284">
        <v>0</v>
      </c>
      <c r="AG26" s="284">
        <v>0</v>
      </c>
      <c r="AH26" s="284">
        <v>0</v>
      </c>
      <c r="AI26" s="284">
        <v>0</v>
      </c>
      <c r="AJ26" s="284">
        <v>0</v>
      </c>
      <c r="AK26" s="284">
        <v>0</v>
      </c>
      <c r="AL26" s="284">
        <v>0</v>
      </c>
      <c r="AM26" s="284">
        <v>0</v>
      </c>
      <c r="AN26" s="284">
        <v>0</v>
      </c>
      <c r="AO26" s="284">
        <v>0</v>
      </c>
      <c r="AP26" s="284">
        <v>0</v>
      </c>
      <c r="AQ26" s="284">
        <v>0</v>
      </c>
      <c r="AR26" s="284">
        <v>0</v>
      </c>
      <c r="AS26" s="284">
        <v>0</v>
      </c>
      <c r="AT26" s="284">
        <v>0</v>
      </c>
      <c r="AU26" s="284">
        <v>0</v>
      </c>
      <c r="AV26" s="284">
        <v>0</v>
      </c>
      <c r="AW26" s="284">
        <v>0</v>
      </c>
      <c r="AX26" s="284">
        <v>0</v>
      </c>
      <c r="AY26" s="284">
        <v>0</v>
      </c>
      <c r="AZ26" s="284">
        <v>0</v>
      </c>
      <c r="BA26" s="284">
        <v>0</v>
      </c>
      <c r="BB26" s="284">
        <v>0</v>
      </c>
      <c r="BC26" s="284">
        <v>0</v>
      </c>
      <c r="BD26" s="284">
        <v>0</v>
      </c>
      <c r="BE26" s="284">
        <v>0</v>
      </c>
      <c r="BF26" s="284">
        <v>0</v>
      </c>
      <c r="BG26" s="284">
        <v>0</v>
      </c>
      <c r="BH26" s="284">
        <v>0</v>
      </c>
      <c r="BI26" s="284">
        <v>0</v>
      </c>
      <c r="BJ26" s="284">
        <v>0</v>
      </c>
      <c r="BK26" s="284">
        <v>0</v>
      </c>
      <c r="BL26" s="284">
        <v>0</v>
      </c>
      <c r="BM26" s="284">
        <v>0</v>
      </c>
      <c r="BN26" s="284">
        <v>0</v>
      </c>
      <c r="BO26" s="284">
        <v>0</v>
      </c>
      <c r="BP26" s="284">
        <v>0</v>
      </c>
      <c r="BQ26" s="284">
        <v>0</v>
      </c>
      <c r="BR26" s="284">
        <v>0</v>
      </c>
      <c r="BS26" s="284">
        <v>0</v>
      </c>
      <c r="BT26" s="284">
        <v>0</v>
      </c>
      <c r="BU26" s="284">
        <v>0</v>
      </c>
      <c r="BV26" s="284">
        <v>0</v>
      </c>
      <c r="BW26" s="284">
        <v>0</v>
      </c>
      <c r="BX26" s="284">
        <v>0</v>
      </c>
      <c r="BY26" s="284">
        <v>0</v>
      </c>
      <c r="BZ26" s="284">
        <v>0</v>
      </c>
      <c r="CA26" s="284">
        <v>0</v>
      </c>
      <c r="CB26" s="284">
        <v>0</v>
      </c>
      <c r="CC26" s="284">
        <v>0</v>
      </c>
      <c r="CD26" s="284">
        <v>0</v>
      </c>
      <c r="CE26" s="284">
        <v>0</v>
      </c>
      <c r="CF26" s="284">
        <v>0</v>
      </c>
      <c r="CG26" s="284">
        <v>0</v>
      </c>
      <c r="CH26" s="284">
        <v>0</v>
      </c>
      <c r="CI26" s="284">
        <v>0</v>
      </c>
      <c r="CJ26" s="284">
        <v>0</v>
      </c>
      <c r="CK26" s="284">
        <v>0</v>
      </c>
      <c r="CL26" s="284">
        <v>0</v>
      </c>
      <c r="CM26" s="284">
        <v>0</v>
      </c>
      <c r="CN26" s="284">
        <v>0</v>
      </c>
      <c r="CO26" s="284">
        <v>0</v>
      </c>
      <c r="CP26" s="284">
        <v>0</v>
      </c>
      <c r="CQ26" s="284">
        <v>0</v>
      </c>
      <c r="CR26" s="284">
        <v>0</v>
      </c>
      <c r="CS26" s="284">
        <v>0</v>
      </c>
      <c r="CT26" s="284">
        <v>0</v>
      </c>
      <c r="CU26" s="284">
        <v>0</v>
      </c>
      <c r="CV26" s="284">
        <v>0</v>
      </c>
      <c r="CW26" s="284">
        <v>0</v>
      </c>
      <c r="CX26" s="284">
        <v>0</v>
      </c>
      <c r="CY26" s="284">
        <v>0</v>
      </c>
      <c r="CZ26" s="284">
        <v>0</v>
      </c>
      <c r="DA26" s="284">
        <v>0</v>
      </c>
      <c r="DB26" s="284">
        <v>0</v>
      </c>
      <c r="DC26" s="284">
        <v>0</v>
      </c>
      <c r="DD26" s="284">
        <v>0</v>
      </c>
      <c r="DE26" s="284">
        <v>0</v>
      </c>
      <c r="DF26" s="284">
        <v>0</v>
      </c>
      <c r="DG26" s="284">
        <v>0</v>
      </c>
      <c r="DH26" s="284">
        <v>0</v>
      </c>
      <c r="DI26" s="284">
        <v>0</v>
      </c>
      <c r="DJ26" s="284">
        <v>0</v>
      </c>
      <c r="DK26" s="284">
        <v>0</v>
      </c>
      <c r="DL26" s="284">
        <v>0</v>
      </c>
      <c r="DM26" s="284">
        <v>0</v>
      </c>
      <c r="DN26" s="284">
        <v>0</v>
      </c>
      <c r="DO26" s="284">
        <v>0</v>
      </c>
      <c r="DP26" s="284">
        <v>0</v>
      </c>
      <c r="DQ26" s="284">
        <v>0</v>
      </c>
      <c r="DR26" s="284">
        <v>0</v>
      </c>
      <c r="DS26" s="284">
        <v>2022</v>
      </c>
      <c r="DT26" s="284">
        <v>7</v>
      </c>
      <c r="DU26" s="284">
        <v>27</v>
      </c>
      <c r="DV26" s="284" t="s">
        <v>682</v>
      </c>
      <c r="DW26" s="284" t="s">
        <v>708</v>
      </c>
      <c r="DX26" s="284" t="s">
        <v>679</v>
      </c>
    </row>
    <row r="27" spans="1:128">
      <c r="A27" s="284">
        <v>25</v>
      </c>
      <c r="B27" s="284">
        <v>7282000</v>
      </c>
      <c r="C27" s="284">
        <v>0</v>
      </c>
      <c r="D27" s="284">
        <v>0</v>
      </c>
      <c r="E27" s="284">
        <v>0</v>
      </c>
      <c r="F27" s="284">
        <v>0</v>
      </c>
      <c r="G27" s="284">
        <v>0</v>
      </c>
      <c r="H27" s="284">
        <v>0</v>
      </c>
      <c r="I27" s="284">
        <v>0</v>
      </c>
      <c r="J27" s="284">
        <v>0</v>
      </c>
      <c r="K27" s="284">
        <v>0</v>
      </c>
      <c r="L27" s="284">
        <v>0</v>
      </c>
      <c r="M27" s="284">
        <v>0</v>
      </c>
      <c r="N27" s="284">
        <v>0</v>
      </c>
      <c r="O27" s="284">
        <v>0</v>
      </c>
      <c r="P27" s="284">
        <v>0</v>
      </c>
      <c r="Q27" s="284">
        <v>0</v>
      </c>
      <c r="R27" s="284">
        <v>0</v>
      </c>
      <c r="S27" s="284">
        <v>7282462</v>
      </c>
      <c r="T27" s="284">
        <v>0</v>
      </c>
      <c r="U27" s="284">
        <v>7282462</v>
      </c>
      <c r="V27" s="284">
        <v>7282462</v>
      </c>
      <c r="W27" s="284">
        <v>48751200</v>
      </c>
      <c r="X27" s="284">
        <v>7282462</v>
      </c>
      <c r="Y27" s="284">
        <v>7282462</v>
      </c>
      <c r="Z27" s="284">
        <v>7282000</v>
      </c>
      <c r="AA27" s="284">
        <v>0</v>
      </c>
      <c r="AB27" s="284">
        <v>0</v>
      </c>
      <c r="AC27" s="284">
        <v>0</v>
      </c>
      <c r="AD27" s="284">
        <v>0</v>
      </c>
      <c r="AE27" s="284">
        <v>0</v>
      </c>
      <c r="AF27" s="284">
        <v>0</v>
      </c>
      <c r="AG27" s="284">
        <v>0</v>
      </c>
      <c r="AH27" s="284">
        <v>0</v>
      </c>
      <c r="AI27" s="284">
        <v>0</v>
      </c>
      <c r="AJ27" s="284">
        <v>0</v>
      </c>
      <c r="AK27" s="284">
        <v>0</v>
      </c>
      <c r="AL27" s="284">
        <v>0</v>
      </c>
      <c r="AM27" s="284">
        <v>0</v>
      </c>
      <c r="AN27" s="284">
        <v>0</v>
      </c>
      <c r="AO27" s="284">
        <v>0</v>
      </c>
      <c r="AP27" s="284">
        <v>0</v>
      </c>
      <c r="AQ27" s="284">
        <v>0</v>
      </c>
      <c r="AR27" s="284">
        <v>0</v>
      </c>
      <c r="AS27" s="284">
        <v>0</v>
      </c>
      <c r="AT27" s="284">
        <v>0</v>
      </c>
      <c r="AU27" s="284">
        <v>0</v>
      </c>
      <c r="AV27" s="284">
        <v>0</v>
      </c>
      <c r="AW27" s="284">
        <v>0</v>
      </c>
      <c r="AX27" s="284">
        <v>0</v>
      </c>
      <c r="AY27" s="284">
        <v>0</v>
      </c>
      <c r="AZ27" s="284">
        <v>0</v>
      </c>
      <c r="BA27" s="284">
        <v>0</v>
      </c>
      <c r="BB27" s="284">
        <v>0</v>
      </c>
      <c r="BC27" s="284">
        <v>0</v>
      </c>
      <c r="BD27" s="284">
        <v>0</v>
      </c>
      <c r="BE27" s="284">
        <v>0</v>
      </c>
      <c r="BF27" s="284">
        <v>0</v>
      </c>
      <c r="BG27" s="284">
        <v>0</v>
      </c>
      <c r="BH27" s="284">
        <v>0</v>
      </c>
      <c r="BI27" s="284">
        <v>0</v>
      </c>
      <c r="BJ27" s="284">
        <v>0</v>
      </c>
      <c r="BK27" s="284">
        <v>0</v>
      </c>
      <c r="BL27" s="284">
        <v>0</v>
      </c>
      <c r="BM27" s="284">
        <v>0</v>
      </c>
      <c r="BN27" s="284">
        <v>0</v>
      </c>
      <c r="BO27" s="284">
        <v>0</v>
      </c>
      <c r="BP27" s="284">
        <v>0</v>
      </c>
      <c r="BQ27" s="284">
        <v>0</v>
      </c>
      <c r="BR27" s="284">
        <v>0</v>
      </c>
      <c r="BS27" s="284">
        <v>0</v>
      </c>
      <c r="BT27" s="284">
        <v>0</v>
      </c>
      <c r="BU27" s="284">
        <v>0</v>
      </c>
      <c r="BV27" s="284">
        <v>0</v>
      </c>
      <c r="BW27" s="284">
        <v>0</v>
      </c>
      <c r="BX27" s="284">
        <v>0</v>
      </c>
      <c r="BY27" s="284">
        <v>0</v>
      </c>
      <c r="BZ27" s="284">
        <v>0</v>
      </c>
      <c r="CA27" s="284">
        <v>0</v>
      </c>
      <c r="CB27" s="284">
        <v>0</v>
      </c>
      <c r="CC27" s="284">
        <v>0</v>
      </c>
      <c r="CD27" s="284">
        <v>0</v>
      </c>
      <c r="CE27" s="284">
        <v>0</v>
      </c>
      <c r="CF27" s="284">
        <v>0</v>
      </c>
      <c r="CG27" s="284">
        <v>0</v>
      </c>
      <c r="CH27" s="284">
        <v>0</v>
      </c>
      <c r="CI27" s="284">
        <v>0</v>
      </c>
      <c r="CJ27" s="284">
        <v>0</v>
      </c>
      <c r="CK27" s="284">
        <v>0</v>
      </c>
      <c r="CL27" s="284">
        <v>0</v>
      </c>
      <c r="CM27" s="284">
        <v>0</v>
      </c>
      <c r="CN27" s="284">
        <v>0</v>
      </c>
      <c r="CO27" s="284">
        <v>0</v>
      </c>
      <c r="CP27" s="284">
        <v>0</v>
      </c>
      <c r="CQ27" s="284">
        <v>0</v>
      </c>
      <c r="CR27" s="284">
        <v>0</v>
      </c>
      <c r="CS27" s="284">
        <v>0</v>
      </c>
      <c r="CT27" s="284">
        <v>0</v>
      </c>
      <c r="CU27" s="284">
        <v>0</v>
      </c>
      <c r="CV27" s="284">
        <v>0</v>
      </c>
      <c r="CW27" s="284">
        <v>0</v>
      </c>
      <c r="CX27" s="284">
        <v>0</v>
      </c>
      <c r="CY27" s="284">
        <v>0</v>
      </c>
      <c r="CZ27" s="284">
        <v>0</v>
      </c>
      <c r="DA27" s="284">
        <v>0</v>
      </c>
      <c r="DB27" s="284">
        <v>0</v>
      </c>
      <c r="DC27" s="284">
        <v>0</v>
      </c>
      <c r="DD27" s="284">
        <v>0</v>
      </c>
      <c r="DE27" s="284">
        <v>0</v>
      </c>
      <c r="DF27" s="284">
        <v>0</v>
      </c>
      <c r="DG27" s="284">
        <v>0</v>
      </c>
      <c r="DH27" s="284">
        <v>0</v>
      </c>
      <c r="DI27" s="284">
        <v>0</v>
      </c>
      <c r="DJ27" s="284">
        <v>0</v>
      </c>
      <c r="DK27" s="284">
        <v>0</v>
      </c>
      <c r="DL27" s="284">
        <v>0</v>
      </c>
      <c r="DM27" s="284">
        <v>0</v>
      </c>
      <c r="DN27" s="284">
        <v>0</v>
      </c>
      <c r="DO27" s="284">
        <v>0</v>
      </c>
      <c r="DP27" s="284">
        <v>0</v>
      </c>
      <c r="DQ27" s="284">
        <v>0</v>
      </c>
      <c r="DR27" s="284">
        <v>0</v>
      </c>
      <c r="DS27" s="284">
        <v>2022</v>
      </c>
      <c r="DT27" s="284">
        <v>7</v>
      </c>
      <c r="DU27" s="284">
        <v>27</v>
      </c>
      <c r="DV27" s="284" t="s">
        <v>682</v>
      </c>
      <c r="DW27" s="284" t="s">
        <v>709</v>
      </c>
      <c r="DX27" s="284" t="s">
        <v>679</v>
      </c>
    </row>
    <row r="28" spans="1:128">
      <c r="A28" s="284">
        <v>26</v>
      </c>
      <c r="B28" s="284">
        <v>113000</v>
      </c>
      <c r="C28" s="284">
        <v>0</v>
      </c>
      <c r="D28" s="284">
        <v>0</v>
      </c>
      <c r="E28" s="284">
        <v>0</v>
      </c>
      <c r="F28" s="284">
        <v>0</v>
      </c>
      <c r="G28" s="284">
        <v>0</v>
      </c>
      <c r="H28" s="284">
        <v>0</v>
      </c>
      <c r="I28" s="284">
        <v>0</v>
      </c>
      <c r="J28" s="284">
        <v>0</v>
      </c>
      <c r="K28" s="284">
        <v>0</v>
      </c>
      <c r="L28" s="284">
        <v>0</v>
      </c>
      <c r="M28" s="284">
        <v>0</v>
      </c>
      <c r="N28" s="284">
        <v>0</v>
      </c>
      <c r="O28" s="284">
        <v>0</v>
      </c>
      <c r="P28" s="284">
        <v>0</v>
      </c>
      <c r="Q28" s="284">
        <v>0</v>
      </c>
      <c r="R28" s="284">
        <v>0</v>
      </c>
      <c r="S28" s="284">
        <v>113520</v>
      </c>
      <c r="T28" s="284">
        <v>0</v>
      </c>
      <c r="U28" s="284">
        <v>113520</v>
      </c>
      <c r="V28" s="284">
        <v>113520</v>
      </c>
      <c r="W28" s="284">
        <v>460800</v>
      </c>
      <c r="X28" s="284">
        <v>113520</v>
      </c>
      <c r="Y28" s="284">
        <v>113520</v>
      </c>
      <c r="Z28" s="284">
        <v>113000</v>
      </c>
      <c r="AA28" s="284">
        <v>0</v>
      </c>
      <c r="AB28" s="284">
        <v>0</v>
      </c>
      <c r="AC28" s="284">
        <v>0</v>
      </c>
      <c r="AD28" s="284">
        <v>0</v>
      </c>
      <c r="AE28" s="284">
        <v>0</v>
      </c>
      <c r="AF28" s="284">
        <v>0</v>
      </c>
      <c r="AG28" s="284">
        <v>0</v>
      </c>
      <c r="AH28" s="284">
        <v>0</v>
      </c>
      <c r="AI28" s="284">
        <v>0</v>
      </c>
      <c r="AJ28" s="284">
        <v>0</v>
      </c>
      <c r="AK28" s="284">
        <v>0</v>
      </c>
      <c r="AL28" s="284">
        <v>0</v>
      </c>
      <c r="AM28" s="284">
        <v>0</v>
      </c>
      <c r="AN28" s="284">
        <v>0</v>
      </c>
      <c r="AO28" s="284">
        <v>0</v>
      </c>
      <c r="AP28" s="284">
        <v>0</v>
      </c>
      <c r="AQ28" s="284">
        <v>0</v>
      </c>
      <c r="AR28" s="284">
        <v>0</v>
      </c>
      <c r="AS28" s="284">
        <v>0</v>
      </c>
      <c r="AT28" s="284">
        <v>0</v>
      </c>
      <c r="AU28" s="284">
        <v>0</v>
      </c>
      <c r="AV28" s="284">
        <v>0</v>
      </c>
      <c r="AW28" s="284">
        <v>0</v>
      </c>
      <c r="AX28" s="284">
        <v>0</v>
      </c>
      <c r="AY28" s="284">
        <v>0</v>
      </c>
      <c r="AZ28" s="284">
        <v>0</v>
      </c>
      <c r="BA28" s="284">
        <v>0</v>
      </c>
      <c r="BB28" s="284">
        <v>0</v>
      </c>
      <c r="BC28" s="284">
        <v>0</v>
      </c>
      <c r="BD28" s="284">
        <v>0</v>
      </c>
      <c r="BE28" s="284">
        <v>0</v>
      </c>
      <c r="BF28" s="284">
        <v>0</v>
      </c>
      <c r="BG28" s="284">
        <v>0</v>
      </c>
      <c r="BH28" s="284">
        <v>0</v>
      </c>
      <c r="BI28" s="284">
        <v>0</v>
      </c>
      <c r="BJ28" s="284">
        <v>0</v>
      </c>
      <c r="BK28" s="284">
        <v>0</v>
      </c>
      <c r="BL28" s="284">
        <v>0</v>
      </c>
      <c r="BM28" s="284">
        <v>0</v>
      </c>
      <c r="BN28" s="284">
        <v>0</v>
      </c>
      <c r="BO28" s="284">
        <v>0</v>
      </c>
      <c r="BP28" s="284">
        <v>0</v>
      </c>
      <c r="BQ28" s="284">
        <v>0</v>
      </c>
      <c r="BR28" s="284">
        <v>0</v>
      </c>
      <c r="BS28" s="284">
        <v>0</v>
      </c>
      <c r="BT28" s="284">
        <v>0</v>
      </c>
      <c r="BU28" s="284">
        <v>0</v>
      </c>
      <c r="BV28" s="284">
        <v>0</v>
      </c>
      <c r="BW28" s="284">
        <v>0</v>
      </c>
      <c r="BX28" s="284">
        <v>0</v>
      </c>
      <c r="BY28" s="284">
        <v>0</v>
      </c>
      <c r="BZ28" s="284">
        <v>0</v>
      </c>
      <c r="CA28" s="284">
        <v>0</v>
      </c>
      <c r="CB28" s="284">
        <v>0</v>
      </c>
      <c r="CC28" s="284">
        <v>0</v>
      </c>
      <c r="CD28" s="284">
        <v>0</v>
      </c>
      <c r="CE28" s="284">
        <v>0</v>
      </c>
      <c r="CF28" s="284">
        <v>0</v>
      </c>
      <c r="CG28" s="284">
        <v>0</v>
      </c>
      <c r="CH28" s="284">
        <v>0</v>
      </c>
      <c r="CI28" s="284">
        <v>0</v>
      </c>
      <c r="CJ28" s="284">
        <v>0</v>
      </c>
      <c r="CK28" s="284">
        <v>0</v>
      </c>
      <c r="CL28" s="284">
        <v>0</v>
      </c>
      <c r="CM28" s="284">
        <v>0</v>
      </c>
      <c r="CN28" s="284">
        <v>0</v>
      </c>
      <c r="CO28" s="284">
        <v>0</v>
      </c>
      <c r="CP28" s="284">
        <v>0</v>
      </c>
      <c r="CQ28" s="284">
        <v>0</v>
      </c>
      <c r="CR28" s="284">
        <v>0</v>
      </c>
      <c r="CS28" s="284">
        <v>0</v>
      </c>
      <c r="CT28" s="284">
        <v>0</v>
      </c>
      <c r="CU28" s="284">
        <v>0</v>
      </c>
      <c r="CV28" s="284">
        <v>0</v>
      </c>
      <c r="CW28" s="284">
        <v>0</v>
      </c>
      <c r="CX28" s="284">
        <v>0</v>
      </c>
      <c r="CY28" s="284">
        <v>0</v>
      </c>
      <c r="CZ28" s="284">
        <v>0</v>
      </c>
      <c r="DA28" s="284">
        <v>0</v>
      </c>
      <c r="DB28" s="284">
        <v>0</v>
      </c>
      <c r="DC28" s="284">
        <v>0</v>
      </c>
      <c r="DD28" s="284">
        <v>0</v>
      </c>
      <c r="DE28" s="284">
        <v>0</v>
      </c>
      <c r="DF28" s="284">
        <v>0</v>
      </c>
      <c r="DG28" s="284">
        <v>0</v>
      </c>
      <c r="DH28" s="284">
        <v>0</v>
      </c>
      <c r="DI28" s="284">
        <v>0</v>
      </c>
      <c r="DJ28" s="284">
        <v>0</v>
      </c>
      <c r="DK28" s="284">
        <v>0</v>
      </c>
      <c r="DL28" s="284">
        <v>0</v>
      </c>
      <c r="DM28" s="284">
        <v>0</v>
      </c>
      <c r="DN28" s="284">
        <v>0</v>
      </c>
      <c r="DO28" s="284">
        <v>0</v>
      </c>
      <c r="DP28" s="284">
        <v>0</v>
      </c>
      <c r="DQ28" s="284">
        <v>0</v>
      </c>
      <c r="DR28" s="284">
        <v>0</v>
      </c>
      <c r="DS28" s="284">
        <v>2022</v>
      </c>
      <c r="DT28" s="284">
        <v>7</v>
      </c>
      <c r="DU28" s="284">
        <v>27</v>
      </c>
      <c r="DV28" s="284" t="s">
        <v>710</v>
      </c>
      <c r="DW28" s="284" t="s">
        <v>711</v>
      </c>
      <c r="DX28" s="284" t="s">
        <v>679</v>
      </c>
    </row>
    <row r="29" spans="1:128">
      <c r="A29" s="284">
        <v>27</v>
      </c>
      <c r="B29" s="284">
        <v>5619000</v>
      </c>
      <c r="C29" s="284">
        <v>0</v>
      </c>
      <c r="D29" s="284">
        <v>0</v>
      </c>
      <c r="E29" s="284">
        <v>0</v>
      </c>
      <c r="F29" s="284">
        <v>0</v>
      </c>
      <c r="G29" s="284">
        <v>0</v>
      </c>
      <c r="H29" s="284">
        <v>0</v>
      </c>
      <c r="I29" s="284">
        <v>0</v>
      </c>
      <c r="J29" s="284">
        <v>0</v>
      </c>
      <c r="K29" s="284">
        <v>0</v>
      </c>
      <c r="L29" s="284">
        <v>0</v>
      </c>
      <c r="M29" s="284">
        <v>0</v>
      </c>
      <c r="N29" s="284">
        <v>0</v>
      </c>
      <c r="O29" s="284">
        <v>0</v>
      </c>
      <c r="P29" s="284">
        <v>0</v>
      </c>
      <c r="Q29" s="284">
        <v>0</v>
      </c>
      <c r="R29" s="284">
        <v>0</v>
      </c>
      <c r="S29" s="284">
        <v>5619900</v>
      </c>
      <c r="T29" s="284">
        <v>0</v>
      </c>
      <c r="U29" s="284">
        <v>5619900</v>
      </c>
      <c r="V29" s="284">
        <v>5619900</v>
      </c>
      <c r="W29" s="284">
        <v>13176000</v>
      </c>
      <c r="X29" s="284">
        <v>5619900</v>
      </c>
      <c r="Y29" s="284">
        <v>5619900</v>
      </c>
      <c r="Z29" s="284">
        <v>5619000</v>
      </c>
      <c r="AA29" s="284">
        <v>0</v>
      </c>
      <c r="AB29" s="284">
        <v>0</v>
      </c>
      <c r="AC29" s="284">
        <v>0</v>
      </c>
      <c r="AD29" s="284">
        <v>0</v>
      </c>
      <c r="AE29" s="284">
        <v>0</v>
      </c>
      <c r="AF29" s="284">
        <v>0</v>
      </c>
      <c r="AG29" s="284">
        <v>0</v>
      </c>
      <c r="AH29" s="284">
        <v>0</v>
      </c>
      <c r="AI29" s="284">
        <v>0</v>
      </c>
      <c r="AJ29" s="284">
        <v>0</v>
      </c>
      <c r="AK29" s="284">
        <v>0</v>
      </c>
      <c r="AL29" s="284">
        <v>0</v>
      </c>
      <c r="AM29" s="284">
        <v>0</v>
      </c>
      <c r="AN29" s="284">
        <v>0</v>
      </c>
      <c r="AO29" s="284">
        <v>0</v>
      </c>
      <c r="AP29" s="284">
        <v>0</v>
      </c>
      <c r="AQ29" s="284">
        <v>0</v>
      </c>
      <c r="AR29" s="284">
        <v>0</v>
      </c>
      <c r="AS29" s="284">
        <v>0</v>
      </c>
      <c r="AT29" s="284">
        <v>0</v>
      </c>
      <c r="AU29" s="284">
        <v>0</v>
      </c>
      <c r="AV29" s="284">
        <v>0</v>
      </c>
      <c r="AW29" s="284">
        <v>0</v>
      </c>
      <c r="AX29" s="284">
        <v>0</v>
      </c>
      <c r="AY29" s="284">
        <v>0</v>
      </c>
      <c r="AZ29" s="284">
        <v>0</v>
      </c>
      <c r="BA29" s="284">
        <v>0</v>
      </c>
      <c r="BB29" s="284">
        <v>0</v>
      </c>
      <c r="BC29" s="284">
        <v>0</v>
      </c>
      <c r="BD29" s="284">
        <v>0</v>
      </c>
      <c r="BE29" s="284">
        <v>0</v>
      </c>
      <c r="BF29" s="284">
        <v>0</v>
      </c>
      <c r="BG29" s="284">
        <v>0</v>
      </c>
      <c r="BH29" s="284">
        <v>0</v>
      </c>
      <c r="BI29" s="284">
        <v>0</v>
      </c>
      <c r="BJ29" s="284">
        <v>0</v>
      </c>
      <c r="BK29" s="284">
        <v>0</v>
      </c>
      <c r="BL29" s="284">
        <v>0</v>
      </c>
      <c r="BM29" s="284">
        <v>0</v>
      </c>
      <c r="BN29" s="284">
        <v>0</v>
      </c>
      <c r="BO29" s="284">
        <v>0</v>
      </c>
      <c r="BP29" s="284">
        <v>0</v>
      </c>
      <c r="BQ29" s="284">
        <v>0</v>
      </c>
      <c r="BR29" s="284">
        <v>0</v>
      </c>
      <c r="BS29" s="284">
        <v>0</v>
      </c>
      <c r="BT29" s="284">
        <v>0</v>
      </c>
      <c r="BU29" s="284">
        <v>0</v>
      </c>
      <c r="BV29" s="284">
        <v>0</v>
      </c>
      <c r="BW29" s="284">
        <v>0</v>
      </c>
      <c r="BX29" s="284">
        <v>0</v>
      </c>
      <c r="BY29" s="284">
        <v>0</v>
      </c>
      <c r="BZ29" s="284">
        <v>0</v>
      </c>
      <c r="CA29" s="284">
        <v>0</v>
      </c>
      <c r="CB29" s="284">
        <v>0</v>
      </c>
      <c r="CC29" s="284">
        <v>0</v>
      </c>
      <c r="CD29" s="284">
        <v>0</v>
      </c>
      <c r="CE29" s="284">
        <v>0</v>
      </c>
      <c r="CF29" s="284">
        <v>0</v>
      </c>
      <c r="CG29" s="284">
        <v>0</v>
      </c>
      <c r="CH29" s="284">
        <v>0</v>
      </c>
      <c r="CI29" s="284">
        <v>0</v>
      </c>
      <c r="CJ29" s="284">
        <v>0</v>
      </c>
      <c r="CK29" s="284">
        <v>0</v>
      </c>
      <c r="CL29" s="284">
        <v>0</v>
      </c>
      <c r="CM29" s="284">
        <v>0</v>
      </c>
      <c r="CN29" s="284">
        <v>0</v>
      </c>
      <c r="CO29" s="284">
        <v>0</v>
      </c>
      <c r="CP29" s="284">
        <v>0</v>
      </c>
      <c r="CQ29" s="284">
        <v>0</v>
      </c>
      <c r="CR29" s="284">
        <v>0</v>
      </c>
      <c r="CS29" s="284">
        <v>0</v>
      </c>
      <c r="CT29" s="284">
        <v>0</v>
      </c>
      <c r="CU29" s="284">
        <v>0</v>
      </c>
      <c r="CV29" s="284">
        <v>0</v>
      </c>
      <c r="CW29" s="284">
        <v>0</v>
      </c>
      <c r="CX29" s="284">
        <v>0</v>
      </c>
      <c r="CY29" s="284">
        <v>0</v>
      </c>
      <c r="CZ29" s="284">
        <v>0</v>
      </c>
      <c r="DA29" s="284">
        <v>0</v>
      </c>
      <c r="DB29" s="284">
        <v>0</v>
      </c>
      <c r="DC29" s="284">
        <v>0</v>
      </c>
      <c r="DD29" s="284">
        <v>0</v>
      </c>
      <c r="DE29" s="284">
        <v>0</v>
      </c>
      <c r="DF29" s="284">
        <v>0</v>
      </c>
      <c r="DG29" s="284">
        <v>0</v>
      </c>
      <c r="DH29" s="284">
        <v>0</v>
      </c>
      <c r="DI29" s="284">
        <v>0</v>
      </c>
      <c r="DJ29" s="284">
        <v>0</v>
      </c>
      <c r="DK29" s="284">
        <v>0</v>
      </c>
      <c r="DL29" s="284">
        <v>0</v>
      </c>
      <c r="DM29" s="284">
        <v>0</v>
      </c>
      <c r="DN29" s="284">
        <v>0</v>
      </c>
      <c r="DO29" s="284">
        <v>0</v>
      </c>
      <c r="DP29" s="284">
        <v>0</v>
      </c>
      <c r="DQ29" s="284">
        <v>0</v>
      </c>
      <c r="DR29" s="284">
        <v>0</v>
      </c>
      <c r="DS29" s="284">
        <v>2022</v>
      </c>
      <c r="DT29" s="284">
        <v>7</v>
      </c>
      <c r="DU29" s="284">
        <v>27</v>
      </c>
      <c r="DV29" s="284" t="s">
        <v>682</v>
      </c>
      <c r="DW29" s="284" t="s">
        <v>712</v>
      </c>
      <c r="DX29" s="284" t="s">
        <v>699</v>
      </c>
    </row>
    <row r="30" spans="1:128">
      <c r="A30" s="284">
        <v>28</v>
      </c>
      <c r="B30" s="284">
        <v>19780000</v>
      </c>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c r="BJ30" s="284"/>
      <c r="BK30" s="284"/>
      <c r="BL30" s="284"/>
      <c r="BM30" s="284"/>
      <c r="BN30" s="284"/>
      <c r="BO30" s="284"/>
      <c r="BP30" s="284"/>
      <c r="BQ30" s="284"/>
      <c r="BR30" s="284"/>
      <c r="BS30" s="284"/>
      <c r="BT30" s="284"/>
      <c r="BU30" s="284"/>
      <c r="BV30" s="284"/>
      <c r="BW30" s="284"/>
      <c r="BX30" s="284"/>
      <c r="BY30" s="284"/>
      <c r="BZ30" s="284"/>
      <c r="CA30" s="284"/>
      <c r="CB30" s="284"/>
      <c r="CC30" s="284"/>
      <c r="CD30" s="284"/>
      <c r="CE30" s="284"/>
      <c r="CF30" s="284"/>
      <c r="CG30" s="284"/>
      <c r="CH30" s="284"/>
      <c r="CI30" s="284"/>
      <c r="CJ30" s="284"/>
      <c r="CK30" s="284"/>
      <c r="CL30" s="284"/>
      <c r="CM30" s="284"/>
      <c r="CN30" s="284"/>
      <c r="CO30" s="284"/>
      <c r="CP30" s="284"/>
      <c r="CQ30" s="284"/>
      <c r="CR30" s="284"/>
      <c r="CS30" s="284"/>
      <c r="CT30" s="284"/>
      <c r="CU30" s="284"/>
      <c r="CV30" s="284"/>
      <c r="CW30" s="284"/>
      <c r="CX30" s="284"/>
      <c r="CY30" s="284"/>
      <c r="CZ30" s="284"/>
      <c r="DA30" s="284"/>
      <c r="DB30" s="284"/>
      <c r="DC30" s="284"/>
      <c r="DD30" s="284"/>
      <c r="DE30" s="284"/>
      <c r="DF30" s="284"/>
      <c r="DG30" s="284"/>
      <c r="DH30" s="284"/>
      <c r="DI30" s="284"/>
      <c r="DJ30" s="284"/>
      <c r="DK30" s="284"/>
      <c r="DL30" s="284"/>
      <c r="DM30" s="284"/>
      <c r="DN30" s="284"/>
      <c r="DO30" s="284"/>
      <c r="DP30" s="284"/>
      <c r="DQ30" s="284"/>
      <c r="DR30" s="284"/>
      <c r="DS30" s="284">
        <v>2022</v>
      </c>
      <c r="DT30" s="284">
        <v>9</v>
      </c>
      <c r="DU30" s="284">
        <v>22</v>
      </c>
      <c r="DV30" s="284" t="s">
        <v>713</v>
      </c>
      <c r="DW30" s="284" t="s">
        <v>681</v>
      </c>
      <c r="DX30" s="284" t="s">
        <v>679</v>
      </c>
    </row>
    <row r="31" spans="1:128">
      <c r="A31" s="284">
        <v>51</v>
      </c>
      <c r="B31" s="284">
        <v>16012000</v>
      </c>
      <c r="C31" s="284">
        <v>0</v>
      </c>
      <c r="D31" s="284">
        <v>0</v>
      </c>
      <c r="E31" s="284">
        <v>0</v>
      </c>
      <c r="F31" s="284">
        <v>0</v>
      </c>
      <c r="G31" s="284">
        <v>0</v>
      </c>
      <c r="H31" s="284">
        <v>0</v>
      </c>
      <c r="I31" s="284">
        <v>0</v>
      </c>
      <c r="J31" s="284">
        <v>0</v>
      </c>
      <c r="K31" s="284">
        <v>0</v>
      </c>
      <c r="L31" s="284">
        <v>0</v>
      </c>
      <c r="M31" s="284">
        <v>0</v>
      </c>
      <c r="N31" s="284">
        <v>0</v>
      </c>
      <c r="O31" s="284">
        <v>0</v>
      </c>
      <c r="P31" s="284">
        <v>0</v>
      </c>
      <c r="Q31" s="284">
        <v>0</v>
      </c>
      <c r="R31" s="284">
        <v>0</v>
      </c>
      <c r="S31" s="284">
        <v>7151809</v>
      </c>
      <c r="T31" s="284">
        <v>0</v>
      </c>
      <c r="U31" s="284">
        <v>7151809</v>
      </c>
      <c r="V31" s="284">
        <v>7151809</v>
      </c>
      <c r="W31" s="284">
        <v>11199600</v>
      </c>
      <c r="X31" s="284">
        <v>7151809</v>
      </c>
      <c r="Y31" s="284">
        <v>7151809</v>
      </c>
      <c r="Z31" s="284">
        <v>7151000</v>
      </c>
      <c r="AA31" s="284">
        <v>0</v>
      </c>
      <c r="AB31" s="284">
        <v>0</v>
      </c>
      <c r="AC31" s="284">
        <v>0</v>
      </c>
      <c r="AD31" s="284">
        <v>0</v>
      </c>
      <c r="AE31" s="284">
        <v>0</v>
      </c>
      <c r="AF31" s="284">
        <v>0</v>
      </c>
      <c r="AG31" s="284">
        <v>0</v>
      </c>
      <c r="AH31" s="284">
        <v>0</v>
      </c>
      <c r="AI31" s="284">
        <v>0</v>
      </c>
      <c r="AJ31" s="284">
        <v>0</v>
      </c>
      <c r="AK31" s="284">
        <v>0</v>
      </c>
      <c r="AL31" s="284">
        <v>0</v>
      </c>
      <c r="AM31" s="284">
        <v>0</v>
      </c>
      <c r="AN31" s="284">
        <v>0</v>
      </c>
      <c r="AO31" s="284">
        <v>0</v>
      </c>
      <c r="AP31" s="284">
        <v>0</v>
      </c>
      <c r="AQ31" s="284">
        <v>0</v>
      </c>
      <c r="AR31" s="284">
        <v>0</v>
      </c>
      <c r="AS31" s="284">
        <v>0</v>
      </c>
      <c r="AT31" s="284">
        <v>0</v>
      </c>
      <c r="AU31" s="284">
        <v>0</v>
      </c>
      <c r="AV31" s="284">
        <v>0</v>
      </c>
      <c r="AW31" s="284">
        <v>0</v>
      </c>
      <c r="AX31" s="284">
        <v>0</v>
      </c>
      <c r="AY31" s="284">
        <v>0</v>
      </c>
      <c r="AZ31" s="284">
        <v>0</v>
      </c>
      <c r="BA31" s="284">
        <v>0</v>
      </c>
      <c r="BB31" s="284">
        <v>0</v>
      </c>
      <c r="BC31" s="284">
        <v>0</v>
      </c>
      <c r="BD31" s="284">
        <v>0</v>
      </c>
      <c r="BE31" s="284">
        <v>0</v>
      </c>
      <c r="BF31" s="284">
        <v>0</v>
      </c>
      <c r="BG31" s="284">
        <v>0</v>
      </c>
      <c r="BH31" s="284">
        <v>0</v>
      </c>
      <c r="BI31" s="284">
        <v>0</v>
      </c>
      <c r="BJ31" s="284">
        <v>0</v>
      </c>
      <c r="BK31" s="284">
        <v>0</v>
      </c>
      <c r="BL31" s="284">
        <v>0</v>
      </c>
      <c r="BM31" s="284">
        <v>0</v>
      </c>
      <c r="BN31" s="284">
        <v>0</v>
      </c>
      <c r="BO31" s="284">
        <v>8861803</v>
      </c>
      <c r="BP31" s="284">
        <v>0</v>
      </c>
      <c r="BQ31" s="284">
        <v>8861803</v>
      </c>
      <c r="BR31" s="284">
        <v>8861803</v>
      </c>
      <c r="BS31" s="284">
        <v>11000000</v>
      </c>
      <c r="BT31" s="284">
        <v>8861803</v>
      </c>
      <c r="BU31" s="284">
        <v>8861803</v>
      </c>
      <c r="BV31" s="284">
        <v>8861000</v>
      </c>
      <c r="BW31" s="284">
        <v>0</v>
      </c>
      <c r="BX31" s="284">
        <v>0</v>
      </c>
      <c r="BY31" s="284">
        <v>0</v>
      </c>
      <c r="BZ31" s="284">
        <v>0</v>
      </c>
      <c r="CA31" s="284">
        <v>0</v>
      </c>
      <c r="CB31" s="284">
        <v>0</v>
      </c>
      <c r="CC31" s="284">
        <v>0</v>
      </c>
      <c r="CD31" s="284">
        <v>0</v>
      </c>
      <c r="CE31" s="284">
        <v>0</v>
      </c>
      <c r="CF31" s="284">
        <v>0</v>
      </c>
      <c r="CG31" s="284">
        <v>0</v>
      </c>
      <c r="CH31" s="284">
        <v>0</v>
      </c>
      <c r="CI31" s="284">
        <v>0</v>
      </c>
      <c r="CJ31" s="284">
        <v>0</v>
      </c>
      <c r="CK31" s="284">
        <v>0</v>
      </c>
      <c r="CL31" s="284">
        <v>0</v>
      </c>
      <c r="CM31" s="284">
        <v>0</v>
      </c>
      <c r="CN31" s="284">
        <v>0</v>
      </c>
      <c r="CO31" s="284">
        <v>0</v>
      </c>
      <c r="CP31" s="284">
        <v>0</v>
      </c>
      <c r="CQ31" s="284">
        <v>0</v>
      </c>
      <c r="CR31" s="284">
        <v>0</v>
      </c>
      <c r="CS31" s="284">
        <v>0</v>
      </c>
      <c r="CT31" s="284">
        <v>0</v>
      </c>
      <c r="CU31" s="284">
        <v>0</v>
      </c>
      <c r="CV31" s="284">
        <v>0</v>
      </c>
      <c r="CW31" s="284">
        <v>0</v>
      </c>
      <c r="CX31" s="284">
        <v>0</v>
      </c>
      <c r="CY31" s="284">
        <v>0</v>
      </c>
      <c r="CZ31" s="284">
        <v>0</v>
      </c>
      <c r="DA31" s="284">
        <v>0</v>
      </c>
      <c r="DB31" s="284">
        <v>0</v>
      </c>
      <c r="DC31" s="284">
        <v>0</v>
      </c>
      <c r="DD31" s="284">
        <v>0</v>
      </c>
      <c r="DE31" s="284">
        <v>0</v>
      </c>
      <c r="DF31" s="284">
        <v>0</v>
      </c>
      <c r="DG31" s="284">
        <v>0</v>
      </c>
      <c r="DH31" s="284">
        <v>0</v>
      </c>
      <c r="DI31" s="284">
        <v>0</v>
      </c>
      <c r="DJ31" s="284">
        <v>0</v>
      </c>
      <c r="DK31" s="284">
        <v>0</v>
      </c>
      <c r="DL31" s="284">
        <v>0</v>
      </c>
      <c r="DM31" s="284">
        <v>0</v>
      </c>
      <c r="DN31" s="284">
        <v>0</v>
      </c>
      <c r="DO31" s="284">
        <v>0</v>
      </c>
      <c r="DP31" s="284">
        <v>0</v>
      </c>
      <c r="DQ31" s="284">
        <v>0</v>
      </c>
      <c r="DR31" s="284">
        <v>0</v>
      </c>
      <c r="DS31" s="284">
        <v>2022</v>
      </c>
      <c r="DT31" s="284">
        <v>7</v>
      </c>
      <c r="DU31" s="284">
        <v>27</v>
      </c>
      <c r="DV31" s="284" t="s">
        <v>682</v>
      </c>
      <c r="DW31" s="284" t="s">
        <v>709</v>
      </c>
      <c r="DX31" s="284" t="s">
        <v>679</v>
      </c>
    </row>
    <row r="32" spans="1:128">
      <c r="A32" s="284">
        <v>52</v>
      </c>
      <c r="B32" s="284">
        <v>11000000</v>
      </c>
      <c r="C32" s="284">
        <v>0</v>
      </c>
      <c r="D32" s="284">
        <v>0</v>
      </c>
      <c r="E32" s="284">
        <v>0</v>
      </c>
      <c r="F32" s="284">
        <v>0</v>
      </c>
      <c r="G32" s="284">
        <v>0</v>
      </c>
      <c r="H32" s="284">
        <v>0</v>
      </c>
      <c r="I32" s="284">
        <v>0</v>
      </c>
      <c r="J32" s="284">
        <v>0</v>
      </c>
      <c r="K32" s="284">
        <v>0</v>
      </c>
      <c r="L32" s="284">
        <v>0</v>
      </c>
      <c r="M32" s="284">
        <v>0</v>
      </c>
      <c r="N32" s="284">
        <v>0</v>
      </c>
      <c r="O32" s="284">
        <v>0</v>
      </c>
      <c r="P32" s="284">
        <v>0</v>
      </c>
      <c r="Q32" s="284">
        <v>0</v>
      </c>
      <c r="R32" s="284">
        <v>0</v>
      </c>
      <c r="S32" s="284">
        <v>0</v>
      </c>
      <c r="T32" s="284">
        <v>0</v>
      </c>
      <c r="U32" s="284">
        <v>0</v>
      </c>
      <c r="V32" s="284">
        <v>0</v>
      </c>
      <c r="W32" s="284">
        <v>0</v>
      </c>
      <c r="X32" s="284">
        <v>0</v>
      </c>
      <c r="Y32" s="284">
        <v>0</v>
      </c>
      <c r="Z32" s="284">
        <v>0</v>
      </c>
      <c r="AA32" s="284">
        <v>0</v>
      </c>
      <c r="AB32" s="284">
        <v>0</v>
      </c>
      <c r="AC32" s="284">
        <v>0</v>
      </c>
      <c r="AD32" s="284">
        <v>0</v>
      </c>
      <c r="AE32" s="284">
        <v>0</v>
      </c>
      <c r="AF32" s="284">
        <v>0</v>
      </c>
      <c r="AG32" s="284">
        <v>0</v>
      </c>
      <c r="AH32" s="284">
        <v>0</v>
      </c>
      <c r="AI32" s="284">
        <v>0</v>
      </c>
      <c r="AJ32" s="284">
        <v>0</v>
      </c>
      <c r="AK32" s="284">
        <v>0</v>
      </c>
      <c r="AL32" s="284">
        <v>0</v>
      </c>
      <c r="AM32" s="284">
        <v>0</v>
      </c>
      <c r="AN32" s="284">
        <v>0</v>
      </c>
      <c r="AO32" s="284">
        <v>0</v>
      </c>
      <c r="AP32" s="284">
        <v>0</v>
      </c>
      <c r="AQ32" s="284">
        <v>0</v>
      </c>
      <c r="AR32" s="284">
        <v>0</v>
      </c>
      <c r="AS32" s="284">
        <v>0</v>
      </c>
      <c r="AT32" s="284">
        <v>0</v>
      </c>
      <c r="AU32" s="284">
        <v>0</v>
      </c>
      <c r="AV32" s="284">
        <v>0</v>
      </c>
      <c r="AW32" s="284">
        <v>0</v>
      </c>
      <c r="AX32" s="284">
        <v>0</v>
      </c>
      <c r="AY32" s="284">
        <v>0</v>
      </c>
      <c r="AZ32" s="284">
        <v>0</v>
      </c>
      <c r="BA32" s="284">
        <v>0</v>
      </c>
      <c r="BB32" s="284">
        <v>0</v>
      </c>
      <c r="BC32" s="284">
        <v>0</v>
      </c>
      <c r="BD32" s="284">
        <v>0</v>
      </c>
      <c r="BE32" s="284">
        <v>0</v>
      </c>
      <c r="BF32" s="284">
        <v>0</v>
      </c>
      <c r="BG32" s="284">
        <v>0</v>
      </c>
      <c r="BH32" s="284">
        <v>0</v>
      </c>
      <c r="BI32" s="284">
        <v>0</v>
      </c>
      <c r="BJ32" s="284">
        <v>0</v>
      </c>
      <c r="BK32" s="284">
        <v>0</v>
      </c>
      <c r="BL32" s="284">
        <v>0</v>
      </c>
      <c r="BM32" s="284">
        <v>0</v>
      </c>
      <c r="BN32" s="284">
        <v>0</v>
      </c>
      <c r="BO32" s="284">
        <v>4400000</v>
      </c>
      <c r="BP32" s="284">
        <v>0</v>
      </c>
      <c r="BQ32" s="284">
        <v>4400000</v>
      </c>
      <c r="BR32" s="284">
        <v>4400000</v>
      </c>
      <c r="BS32" s="284">
        <v>11000000</v>
      </c>
      <c r="BT32" s="284">
        <v>4400000</v>
      </c>
      <c r="BU32" s="284">
        <v>4400000</v>
      </c>
      <c r="BV32" s="284">
        <v>4400000</v>
      </c>
      <c r="BW32" s="284">
        <v>0</v>
      </c>
      <c r="BX32" s="284">
        <v>0</v>
      </c>
      <c r="BY32" s="284">
        <v>0</v>
      </c>
      <c r="BZ32" s="284">
        <v>0</v>
      </c>
      <c r="CA32" s="284">
        <v>0</v>
      </c>
      <c r="CB32" s="284">
        <v>0</v>
      </c>
      <c r="CC32" s="284">
        <v>0</v>
      </c>
      <c r="CD32" s="284">
        <v>0</v>
      </c>
      <c r="CE32" s="284">
        <v>0</v>
      </c>
      <c r="CF32" s="284">
        <v>0</v>
      </c>
      <c r="CG32" s="284">
        <v>0</v>
      </c>
      <c r="CH32" s="284">
        <v>0</v>
      </c>
      <c r="CI32" s="284">
        <v>0</v>
      </c>
      <c r="CJ32" s="284">
        <v>0</v>
      </c>
      <c r="CK32" s="284">
        <v>0</v>
      </c>
      <c r="CL32" s="284">
        <v>0</v>
      </c>
      <c r="CM32" s="284">
        <v>0</v>
      </c>
      <c r="CN32" s="284">
        <v>0</v>
      </c>
      <c r="CO32" s="284">
        <v>0</v>
      </c>
      <c r="CP32" s="284">
        <v>0</v>
      </c>
      <c r="CQ32" s="284">
        <v>0</v>
      </c>
      <c r="CR32" s="284">
        <v>0</v>
      </c>
      <c r="CS32" s="284">
        <v>0</v>
      </c>
      <c r="CT32" s="284">
        <v>0</v>
      </c>
      <c r="CU32" s="284">
        <v>8353840</v>
      </c>
      <c r="CV32" s="284">
        <v>0</v>
      </c>
      <c r="CW32" s="284">
        <v>8353840</v>
      </c>
      <c r="CX32" s="284">
        <v>8353840</v>
      </c>
      <c r="CY32" s="284">
        <v>6600000</v>
      </c>
      <c r="CZ32" s="284">
        <v>6600000</v>
      </c>
      <c r="DA32" s="284">
        <v>6600000</v>
      </c>
      <c r="DB32" s="284">
        <v>6600000</v>
      </c>
      <c r="DC32" s="284">
        <v>0</v>
      </c>
      <c r="DD32" s="284">
        <v>0</v>
      </c>
      <c r="DE32" s="284">
        <v>0</v>
      </c>
      <c r="DF32" s="284">
        <v>0</v>
      </c>
      <c r="DG32" s="284">
        <v>0</v>
      </c>
      <c r="DH32" s="284">
        <v>0</v>
      </c>
      <c r="DI32" s="284">
        <v>0</v>
      </c>
      <c r="DJ32" s="284">
        <v>0</v>
      </c>
      <c r="DK32" s="284">
        <v>0</v>
      </c>
      <c r="DL32" s="284">
        <v>0</v>
      </c>
      <c r="DM32" s="284">
        <v>0</v>
      </c>
      <c r="DN32" s="284">
        <v>0</v>
      </c>
      <c r="DO32" s="284">
        <v>0</v>
      </c>
      <c r="DP32" s="284">
        <v>0</v>
      </c>
      <c r="DQ32" s="284">
        <v>0</v>
      </c>
      <c r="DR32" s="284">
        <v>0</v>
      </c>
      <c r="DS32" s="284">
        <v>2022</v>
      </c>
      <c r="DT32" s="284">
        <v>7</v>
      </c>
      <c r="DU32" s="284">
        <v>27</v>
      </c>
      <c r="DV32" s="284" t="s">
        <v>682</v>
      </c>
      <c r="DW32" s="284" t="s">
        <v>712</v>
      </c>
      <c r="DX32" s="284" t="s">
        <v>699</v>
      </c>
    </row>
    <row r="33" spans="1:128">
      <c r="A33" s="284">
        <v>53</v>
      </c>
      <c r="B33" s="284">
        <v>2656000</v>
      </c>
      <c r="C33" s="284">
        <v>0</v>
      </c>
      <c r="D33" s="284">
        <v>0</v>
      </c>
      <c r="E33" s="284">
        <v>0</v>
      </c>
      <c r="F33" s="284">
        <v>0</v>
      </c>
      <c r="G33" s="284">
        <v>0</v>
      </c>
      <c r="H33" s="284">
        <v>0</v>
      </c>
      <c r="I33" s="284">
        <v>0</v>
      </c>
      <c r="J33" s="284">
        <v>0</v>
      </c>
      <c r="K33" s="284">
        <v>0</v>
      </c>
      <c r="L33" s="284">
        <v>0</v>
      </c>
      <c r="M33" s="284">
        <v>0</v>
      </c>
      <c r="N33" s="284">
        <v>0</v>
      </c>
      <c r="O33" s="284">
        <v>0</v>
      </c>
      <c r="P33" s="284">
        <v>0</v>
      </c>
      <c r="Q33" s="284">
        <v>0</v>
      </c>
      <c r="R33" s="284">
        <v>0</v>
      </c>
      <c r="S33" s="284">
        <v>0</v>
      </c>
      <c r="T33" s="284">
        <v>0</v>
      </c>
      <c r="U33" s="284">
        <v>0</v>
      </c>
      <c r="V33" s="284">
        <v>0</v>
      </c>
      <c r="W33" s="284">
        <v>0</v>
      </c>
      <c r="X33" s="284">
        <v>0</v>
      </c>
      <c r="Y33" s="284">
        <v>0</v>
      </c>
      <c r="Z33" s="284">
        <v>0</v>
      </c>
      <c r="AA33" s="284">
        <v>0</v>
      </c>
      <c r="AB33" s="284">
        <v>0</v>
      </c>
      <c r="AC33" s="284">
        <v>0</v>
      </c>
      <c r="AD33" s="284">
        <v>0</v>
      </c>
      <c r="AE33" s="284">
        <v>0</v>
      </c>
      <c r="AF33" s="284">
        <v>0</v>
      </c>
      <c r="AG33" s="284">
        <v>0</v>
      </c>
      <c r="AH33" s="284">
        <v>0</v>
      </c>
      <c r="AI33" s="284">
        <v>0</v>
      </c>
      <c r="AJ33" s="284">
        <v>0</v>
      </c>
      <c r="AK33" s="284">
        <v>0</v>
      </c>
      <c r="AL33" s="284">
        <v>0</v>
      </c>
      <c r="AM33" s="284">
        <v>0</v>
      </c>
      <c r="AN33" s="284">
        <v>0</v>
      </c>
      <c r="AO33" s="284">
        <v>0</v>
      </c>
      <c r="AP33" s="284">
        <v>0</v>
      </c>
      <c r="AQ33" s="284">
        <v>0</v>
      </c>
      <c r="AR33" s="284">
        <v>0</v>
      </c>
      <c r="AS33" s="284">
        <v>0</v>
      </c>
      <c r="AT33" s="284">
        <v>0</v>
      </c>
      <c r="AU33" s="284">
        <v>0</v>
      </c>
      <c r="AV33" s="284">
        <v>0</v>
      </c>
      <c r="AW33" s="284">
        <v>0</v>
      </c>
      <c r="AX33" s="284">
        <v>0</v>
      </c>
      <c r="AY33" s="284">
        <v>0</v>
      </c>
      <c r="AZ33" s="284">
        <v>0</v>
      </c>
      <c r="BA33" s="284">
        <v>0</v>
      </c>
      <c r="BB33" s="284">
        <v>0</v>
      </c>
      <c r="BC33" s="284">
        <v>0</v>
      </c>
      <c r="BD33" s="284">
        <v>0</v>
      </c>
      <c r="BE33" s="284">
        <v>0</v>
      </c>
      <c r="BF33" s="284">
        <v>0</v>
      </c>
      <c r="BG33" s="284">
        <v>0</v>
      </c>
      <c r="BH33" s="284">
        <v>0</v>
      </c>
      <c r="BI33" s="284">
        <v>0</v>
      </c>
      <c r="BJ33" s="284">
        <v>0</v>
      </c>
      <c r="BK33" s="284">
        <v>0</v>
      </c>
      <c r="BL33" s="284">
        <v>0</v>
      </c>
      <c r="BM33" s="284">
        <v>0</v>
      </c>
      <c r="BN33" s="284">
        <v>0</v>
      </c>
      <c r="BO33" s="284">
        <v>0</v>
      </c>
      <c r="BP33" s="284">
        <v>0</v>
      </c>
      <c r="BQ33" s="284">
        <v>0</v>
      </c>
      <c r="BR33" s="284">
        <v>0</v>
      </c>
      <c r="BS33" s="284">
        <v>0</v>
      </c>
      <c r="BT33" s="284">
        <v>0</v>
      </c>
      <c r="BU33" s="284">
        <v>0</v>
      </c>
      <c r="BV33" s="284">
        <v>0</v>
      </c>
      <c r="BW33" s="284">
        <v>0</v>
      </c>
      <c r="BX33" s="284">
        <v>0</v>
      </c>
      <c r="BY33" s="284">
        <v>0</v>
      </c>
      <c r="BZ33" s="284">
        <v>0</v>
      </c>
      <c r="CA33" s="284">
        <v>0</v>
      </c>
      <c r="CB33" s="284">
        <v>0</v>
      </c>
      <c r="CC33" s="284">
        <v>0</v>
      </c>
      <c r="CD33" s="284">
        <v>0</v>
      </c>
      <c r="CE33" s="284">
        <v>2656655</v>
      </c>
      <c r="CF33" s="284">
        <v>0</v>
      </c>
      <c r="CG33" s="284">
        <v>2656655</v>
      </c>
      <c r="CH33" s="284">
        <v>2656655</v>
      </c>
      <c r="CI33" s="284">
        <v>5500000</v>
      </c>
      <c r="CJ33" s="284">
        <v>2656655</v>
      </c>
      <c r="CK33" s="284">
        <v>2656655</v>
      </c>
      <c r="CL33" s="284">
        <v>2656000</v>
      </c>
      <c r="CM33" s="284">
        <v>0</v>
      </c>
      <c r="CN33" s="284">
        <v>0</v>
      </c>
      <c r="CO33" s="284">
        <v>0</v>
      </c>
      <c r="CP33" s="284">
        <v>0</v>
      </c>
      <c r="CQ33" s="284">
        <v>0</v>
      </c>
      <c r="CR33" s="284">
        <v>0</v>
      </c>
      <c r="CS33" s="284">
        <v>0</v>
      </c>
      <c r="CT33" s="284">
        <v>0</v>
      </c>
      <c r="CU33" s="284">
        <v>0</v>
      </c>
      <c r="CV33" s="284">
        <v>0</v>
      </c>
      <c r="CW33" s="284">
        <v>0</v>
      </c>
      <c r="CX33" s="284">
        <v>0</v>
      </c>
      <c r="CY33" s="284">
        <v>0</v>
      </c>
      <c r="CZ33" s="284">
        <v>0</v>
      </c>
      <c r="DA33" s="284">
        <v>0</v>
      </c>
      <c r="DB33" s="284">
        <v>0</v>
      </c>
      <c r="DC33" s="284">
        <v>0</v>
      </c>
      <c r="DD33" s="284">
        <v>0</v>
      </c>
      <c r="DE33" s="284">
        <v>0</v>
      </c>
      <c r="DF33" s="284">
        <v>0</v>
      </c>
      <c r="DG33" s="284">
        <v>0</v>
      </c>
      <c r="DH33" s="284">
        <v>0</v>
      </c>
      <c r="DI33" s="284">
        <v>0</v>
      </c>
      <c r="DJ33" s="284">
        <v>0</v>
      </c>
      <c r="DK33" s="284">
        <v>0</v>
      </c>
      <c r="DL33" s="284">
        <v>0</v>
      </c>
      <c r="DM33" s="284">
        <v>0</v>
      </c>
      <c r="DN33" s="284">
        <v>0</v>
      </c>
      <c r="DO33" s="284">
        <v>0</v>
      </c>
      <c r="DP33" s="284">
        <v>0</v>
      </c>
      <c r="DQ33" s="284">
        <v>0</v>
      </c>
      <c r="DR33" s="284">
        <v>0</v>
      </c>
      <c r="DS33" s="284">
        <v>2022</v>
      </c>
      <c r="DT33" s="284">
        <v>7</v>
      </c>
      <c r="DU33" s="284">
        <v>27</v>
      </c>
      <c r="DV33" s="284" t="s">
        <v>714</v>
      </c>
      <c r="DW33" s="284" t="s">
        <v>681</v>
      </c>
      <c r="DX33" s="284" t="s">
        <v>679</v>
      </c>
    </row>
    <row r="34" spans="1:128">
      <c r="A34" s="284">
        <v>54</v>
      </c>
      <c r="B34" s="284">
        <v>4887000</v>
      </c>
      <c r="C34" s="284">
        <v>0</v>
      </c>
      <c r="D34" s="284">
        <v>0</v>
      </c>
      <c r="E34" s="284">
        <v>0</v>
      </c>
      <c r="F34" s="284">
        <v>0</v>
      </c>
      <c r="G34" s="284">
        <v>0</v>
      </c>
      <c r="H34" s="284">
        <v>0</v>
      </c>
      <c r="I34" s="284">
        <v>0</v>
      </c>
      <c r="J34" s="284">
        <v>0</v>
      </c>
      <c r="K34" s="284">
        <v>0</v>
      </c>
      <c r="L34" s="284">
        <v>0</v>
      </c>
      <c r="M34" s="284">
        <v>0</v>
      </c>
      <c r="N34" s="284">
        <v>0</v>
      </c>
      <c r="O34" s="284">
        <v>0</v>
      </c>
      <c r="P34" s="284">
        <v>0</v>
      </c>
      <c r="Q34" s="284">
        <v>0</v>
      </c>
      <c r="R34" s="284">
        <v>0</v>
      </c>
      <c r="S34" s="284">
        <v>4887077</v>
      </c>
      <c r="T34" s="284">
        <v>0</v>
      </c>
      <c r="U34" s="284">
        <v>4887077</v>
      </c>
      <c r="V34" s="284">
        <v>4887077</v>
      </c>
      <c r="W34" s="284">
        <v>11199600</v>
      </c>
      <c r="X34" s="284">
        <v>4887077</v>
      </c>
      <c r="Y34" s="284">
        <v>4887077</v>
      </c>
      <c r="Z34" s="284">
        <v>4887000</v>
      </c>
      <c r="AA34" s="284">
        <v>0</v>
      </c>
      <c r="AB34" s="284">
        <v>0</v>
      </c>
      <c r="AC34" s="284">
        <v>0</v>
      </c>
      <c r="AD34" s="284">
        <v>0</v>
      </c>
      <c r="AE34" s="284">
        <v>0</v>
      </c>
      <c r="AF34" s="284">
        <v>0</v>
      </c>
      <c r="AG34" s="284">
        <v>0</v>
      </c>
      <c r="AH34" s="284">
        <v>0</v>
      </c>
      <c r="AI34" s="284">
        <v>0</v>
      </c>
      <c r="AJ34" s="284">
        <v>0</v>
      </c>
      <c r="AK34" s="284">
        <v>0</v>
      </c>
      <c r="AL34" s="284">
        <v>0</v>
      </c>
      <c r="AM34" s="284">
        <v>0</v>
      </c>
      <c r="AN34" s="284">
        <v>0</v>
      </c>
      <c r="AO34" s="284">
        <v>0</v>
      </c>
      <c r="AP34" s="284">
        <v>0</v>
      </c>
      <c r="AQ34" s="284">
        <v>0</v>
      </c>
      <c r="AR34" s="284">
        <v>0</v>
      </c>
      <c r="AS34" s="284">
        <v>0</v>
      </c>
      <c r="AT34" s="284">
        <v>0</v>
      </c>
      <c r="AU34" s="284">
        <v>0</v>
      </c>
      <c r="AV34" s="284">
        <v>0</v>
      </c>
      <c r="AW34" s="284">
        <v>0</v>
      </c>
      <c r="AX34" s="284">
        <v>0</v>
      </c>
      <c r="AY34" s="284">
        <v>0</v>
      </c>
      <c r="AZ34" s="284">
        <v>0</v>
      </c>
      <c r="BA34" s="284">
        <v>0</v>
      </c>
      <c r="BB34" s="284">
        <v>0</v>
      </c>
      <c r="BC34" s="284">
        <v>0</v>
      </c>
      <c r="BD34" s="284">
        <v>0</v>
      </c>
      <c r="BE34" s="284">
        <v>0</v>
      </c>
      <c r="BF34" s="284">
        <v>0</v>
      </c>
      <c r="BG34" s="284">
        <v>0</v>
      </c>
      <c r="BH34" s="284">
        <v>0</v>
      </c>
      <c r="BI34" s="284">
        <v>0</v>
      </c>
      <c r="BJ34" s="284">
        <v>0</v>
      </c>
      <c r="BK34" s="284">
        <v>0</v>
      </c>
      <c r="BL34" s="284">
        <v>0</v>
      </c>
      <c r="BM34" s="284">
        <v>0</v>
      </c>
      <c r="BN34" s="284">
        <v>0</v>
      </c>
      <c r="BO34" s="284">
        <v>0</v>
      </c>
      <c r="BP34" s="284">
        <v>0</v>
      </c>
      <c r="BQ34" s="284">
        <v>0</v>
      </c>
      <c r="BR34" s="284">
        <v>0</v>
      </c>
      <c r="BS34" s="284">
        <v>0</v>
      </c>
      <c r="BT34" s="284">
        <v>0</v>
      </c>
      <c r="BU34" s="284">
        <v>0</v>
      </c>
      <c r="BV34" s="284">
        <v>0</v>
      </c>
      <c r="BW34" s="284">
        <v>0</v>
      </c>
      <c r="BX34" s="284">
        <v>0</v>
      </c>
      <c r="BY34" s="284">
        <v>0</v>
      </c>
      <c r="BZ34" s="284">
        <v>0</v>
      </c>
      <c r="CA34" s="284">
        <v>0</v>
      </c>
      <c r="CB34" s="284">
        <v>0</v>
      </c>
      <c r="CC34" s="284">
        <v>0</v>
      </c>
      <c r="CD34" s="284">
        <v>0</v>
      </c>
      <c r="CE34" s="284">
        <v>0</v>
      </c>
      <c r="CF34" s="284">
        <v>0</v>
      </c>
      <c r="CG34" s="284">
        <v>0</v>
      </c>
      <c r="CH34" s="284">
        <v>0</v>
      </c>
      <c r="CI34" s="284">
        <v>0</v>
      </c>
      <c r="CJ34" s="284">
        <v>0</v>
      </c>
      <c r="CK34" s="284">
        <v>0</v>
      </c>
      <c r="CL34" s="284">
        <v>0</v>
      </c>
      <c r="CM34" s="284">
        <v>0</v>
      </c>
      <c r="CN34" s="284">
        <v>0</v>
      </c>
      <c r="CO34" s="284">
        <v>0</v>
      </c>
      <c r="CP34" s="284">
        <v>0</v>
      </c>
      <c r="CQ34" s="284">
        <v>0</v>
      </c>
      <c r="CR34" s="284">
        <v>0</v>
      </c>
      <c r="CS34" s="284">
        <v>0</v>
      </c>
      <c r="CT34" s="284">
        <v>0</v>
      </c>
      <c r="CU34" s="284">
        <v>0</v>
      </c>
      <c r="CV34" s="284">
        <v>0</v>
      </c>
      <c r="CW34" s="284">
        <v>0</v>
      </c>
      <c r="CX34" s="284">
        <v>0</v>
      </c>
      <c r="CY34" s="284">
        <v>0</v>
      </c>
      <c r="CZ34" s="284">
        <v>0</v>
      </c>
      <c r="DA34" s="284">
        <v>0</v>
      </c>
      <c r="DB34" s="284">
        <v>0</v>
      </c>
      <c r="DC34" s="284">
        <v>0</v>
      </c>
      <c r="DD34" s="284">
        <v>0</v>
      </c>
      <c r="DE34" s="284">
        <v>0</v>
      </c>
      <c r="DF34" s="284">
        <v>0</v>
      </c>
      <c r="DG34" s="284">
        <v>0</v>
      </c>
      <c r="DH34" s="284">
        <v>0</v>
      </c>
      <c r="DI34" s="284">
        <v>0</v>
      </c>
      <c r="DJ34" s="284">
        <v>0</v>
      </c>
      <c r="DK34" s="284">
        <v>0</v>
      </c>
      <c r="DL34" s="284">
        <v>0</v>
      </c>
      <c r="DM34" s="284">
        <v>0</v>
      </c>
      <c r="DN34" s="284">
        <v>0</v>
      </c>
      <c r="DO34" s="284">
        <v>0</v>
      </c>
      <c r="DP34" s="284">
        <v>0</v>
      </c>
      <c r="DQ34" s="284">
        <v>0</v>
      </c>
      <c r="DR34" s="284">
        <v>0</v>
      </c>
      <c r="DS34" s="284">
        <v>2022</v>
      </c>
      <c r="DT34" s="284">
        <v>7</v>
      </c>
      <c r="DU34" s="284">
        <v>27</v>
      </c>
      <c r="DV34" s="284" t="s">
        <v>682</v>
      </c>
      <c r="DW34" s="284" t="s">
        <v>709</v>
      </c>
      <c r="DX34" s="284" t="s">
        <v>679</v>
      </c>
    </row>
    <row r="35" spans="1:128">
      <c r="A35" s="284">
        <v>55</v>
      </c>
      <c r="B35" s="284">
        <v>20255000</v>
      </c>
      <c r="C35" s="284">
        <v>0</v>
      </c>
      <c r="D35" s="284">
        <v>0</v>
      </c>
      <c r="E35" s="284">
        <v>0</v>
      </c>
      <c r="F35" s="284">
        <v>0</v>
      </c>
      <c r="G35" s="284">
        <v>0</v>
      </c>
      <c r="H35" s="284">
        <v>0</v>
      </c>
      <c r="I35" s="284">
        <v>0</v>
      </c>
      <c r="J35" s="284">
        <v>0</v>
      </c>
      <c r="K35" s="284">
        <v>11495104</v>
      </c>
      <c r="L35" s="284">
        <v>0</v>
      </c>
      <c r="M35" s="284">
        <v>11495104</v>
      </c>
      <c r="N35" s="284">
        <v>11495104</v>
      </c>
      <c r="O35" s="284">
        <v>11495104</v>
      </c>
      <c r="P35" s="284">
        <v>11495104</v>
      </c>
      <c r="Q35" s="284">
        <v>11495104</v>
      </c>
      <c r="R35" s="284">
        <v>11495000</v>
      </c>
      <c r="S35" s="284">
        <v>404965</v>
      </c>
      <c r="T35" s="284">
        <v>0</v>
      </c>
      <c r="U35" s="284">
        <v>404965</v>
      </c>
      <c r="V35" s="284">
        <v>404965</v>
      </c>
      <c r="W35" s="284">
        <v>2635200</v>
      </c>
      <c r="X35" s="284">
        <v>404965</v>
      </c>
      <c r="Y35" s="284">
        <v>404965</v>
      </c>
      <c r="Z35" s="284">
        <v>404000</v>
      </c>
      <c r="AA35" s="284">
        <v>0</v>
      </c>
      <c r="AB35" s="284">
        <v>0</v>
      </c>
      <c r="AC35" s="284">
        <v>0</v>
      </c>
      <c r="AD35" s="284">
        <v>0</v>
      </c>
      <c r="AE35" s="284">
        <v>0</v>
      </c>
      <c r="AF35" s="284">
        <v>0</v>
      </c>
      <c r="AG35" s="284">
        <v>0</v>
      </c>
      <c r="AH35" s="284">
        <v>0</v>
      </c>
      <c r="AI35" s="284">
        <v>0</v>
      </c>
      <c r="AJ35" s="284">
        <v>0</v>
      </c>
      <c r="AK35" s="284">
        <v>0</v>
      </c>
      <c r="AL35" s="284">
        <v>0</v>
      </c>
      <c r="AM35" s="284">
        <v>0</v>
      </c>
      <c r="AN35" s="284">
        <v>0</v>
      </c>
      <c r="AO35" s="284">
        <v>0</v>
      </c>
      <c r="AP35" s="284">
        <v>0</v>
      </c>
      <c r="AQ35" s="284">
        <v>0</v>
      </c>
      <c r="AR35" s="284">
        <v>0</v>
      </c>
      <c r="AS35" s="284">
        <v>0</v>
      </c>
      <c r="AT35" s="284">
        <v>0</v>
      </c>
      <c r="AU35" s="284">
        <v>0</v>
      </c>
      <c r="AV35" s="284">
        <v>0</v>
      </c>
      <c r="AW35" s="284">
        <v>0</v>
      </c>
      <c r="AX35" s="284">
        <v>0</v>
      </c>
      <c r="AY35" s="284">
        <v>0</v>
      </c>
      <c r="AZ35" s="284">
        <v>0</v>
      </c>
      <c r="BA35" s="284">
        <v>0</v>
      </c>
      <c r="BB35" s="284">
        <v>0</v>
      </c>
      <c r="BC35" s="284">
        <v>0</v>
      </c>
      <c r="BD35" s="284">
        <v>0</v>
      </c>
      <c r="BE35" s="284">
        <v>0</v>
      </c>
      <c r="BF35" s="284">
        <v>0</v>
      </c>
      <c r="BG35" s="284">
        <v>0</v>
      </c>
      <c r="BH35" s="284">
        <v>0</v>
      </c>
      <c r="BI35" s="284">
        <v>0</v>
      </c>
      <c r="BJ35" s="284">
        <v>0</v>
      </c>
      <c r="BK35" s="284">
        <v>0</v>
      </c>
      <c r="BL35" s="284">
        <v>0</v>
      </c>
      <c r="BM35" s="284">
        <v>0</v>
      </c>
      <c r="BN35" s="284">
        <v>0</v>
      </c>
      <c r="BO35" s="284">
        <v>0</v>
      </c>
      <c r="BP35" s="284">
        <v>0</v>
      </c>
      <c r="BQ35" s="284">
        <v>0</v>
      </c>
      <c r="BR35" s="284">
        <v>0</v>
      </c>
      <c r="BS35" s="284">
        <v>0</v>
      </c>
      <c r="BT35" s="284">
        <v>0</v>
      </c>
      <c r="BU35" s="284">
        <v>0</v>
      </c>
      <c r="BV35" s="284">
        <v>0</v>
      </c>
      <c r="BW35" s="284">
        <v>0</v>
      </c>
      <c r="BX35" s="284">
        <v>0</v>
      </c>
      <c r="BY35" s="284">
        <v>0</v>
      </c>
      <c r="BZ35" s="284">
        <v>0</v>
      </c>
      <c r="CA35" s="284">
        <v>0</v>
      </c>
      <c r="CB35" s="284">
        <v>0</v>
      </c>
      <c r="CC35" s="284">
        <v>0</v>
      </c>
      <c r="CD35" s="284">
        <v>0</v>
      </c>
      <c r="CE35" s="284">
        <v>0</v>
      </c>
      <c r="CF35" s="284">
        <v>0</v>
      </c>
      <c r="CG35" s="284">
        <v>0</v>
      </c>
      <c r="CH35" s="284">
        <v>0</v>
      </c>
      <c r="CI35" s="284">
        <v>0</v>
      </c>
      <c r="CJ35" s="284">
        <v>0</v>
      </c>
      <c r="CK35" s="284">
        <v>0</v>
      </c>
      <c r="CL35" s="284">
        <v>0</v>
      </c>
      <c r="CM35" s="284">
        <v>0</v>
      </c>
      <c r="CN35" s="284">
        <v>0</v>
      </c>
      <c r="CO35" s="284">
        <v>0</v>
      </c>
      <c r="CP35" s="284">
        <v>0</v>
      </c>
      <c r="CQ35" s="284">
        <v>0</v>
      </c>
      <c r="CR35" s="284">
        <v>0</v>
      </c>
      <c r="CS35" s="284">
        <v>0</v>
      </c>
      <c r="CT35" s="284">
        <v>0</v>
      </c>
      <c r="CU35" s="284">
        <v>8690000</v>
      </c>
      <c r="CV35" s="284">
        <v>0</v>
      </c>
      <c r="CW35" s="284">
        <v>8690000</v>
      </c>
      <c r="CX35" s="284">
        <v>8690000</v>
      </c>
      <c r="CY35" s="284">
        <v>8800000</v>
      </c>
      <c r="CZ35" s="284">
        <v>8356168</v>
      </c>
      <c r="DA35" s="284">
        <v>8356168</v>
      </c>
      <c r="DB35" s="284">
        <v>8356000</v>
      </c>
      <c r="DC35" s="284">
        <v>0</v>
      </c>
      <c r="DD35" s="284">
        <v>0</v>
      </c>
      <c r="DE35" s="284">
        <v>0</v>
      </c>
      <c r="DF35" s="284">
        <v>0</v>
      </c>
      <c r="DG35" s="284">
        <v>0</v>
      </c>
      <c r="DH35" s="284">
        <v>0</v>
      </c>
      <c r="DI35" s="284">
        <v>0</v>
      </c>
      <c r="DJ35" s="284">
        <v>0</v>
      </c>
      <c r="DK35" s="284">
        <v>0</v>
      </c>
      <c r="DL35" s="284">
        <v>0</v>
      </c>
      <c r="DM35" s="284">
        <v>0</v>
      </c>
      <c r="DN35" s="284">
        <v>0</v>
      </c>
      <c r="DO35" s="284">
        <v>0</v>
      </c>
      <c r="DP35" s="284">
        <v>0</v>
      </c>
      <c r="DQ35" s="284">
        <v>0</v>
      </c>
      <c r="DR35" s="284">
        <v>0</v>
      </c>
      <c r="DS35" s="284">
        <v>2022</v>
      </c>
      <c r="DT35" s="284">
        <v>7</v>
      </c>
      <c r="DU35" s="284">
        <v>27</v>
      </c>
      <c r="DV35" s="284" t="s">
        <v>684</v>
      </c>
      <c r="DW35" s="284" t="s">
        <v>715</v>
      </c>
      <c r="DX35" s="284" t="s">
        <v>699</v>
      </c>
    </row>
    <row r="36" spans="1:128">
      <c r="A36" s="284">
        <v>58</v>
      </c>
      <c r="B36" s="284">
        <v>30958000</v>
      </c>
      <c r="C36" s="284">
        <v>499431</v>
      </c>
      <c r="D36" s="284">
        <v>0</v>
      </c>
      <c r="E36" s="284">
        <v>499431</v>
      </c>
      <c r="F36" s="284">
        <v>499431</v>
      </c>
      <c r="G36" s="284">
        <v>399000</v>
      </c>
      <c r="H36" s="284">
        <v>399000</v>
      </c>
      <c r="I36" s="284">
        <v>399000</v>
      </c>
      <c r="J36" s="284">
        <v>399000</v>
      </c>
      <c r="K36" s="284">
        <v>4739090</v>
      </c>
      <c r="L36" s="284">
        <v>0</v>
      </c>
      <c r="M36" s="284">
        <v>4739090</v>
      </c>
      <c r="N36" s="284">
        <v>4739090</v>
      </c>
      <c r="O36" s="284">
        <v>4739090</v>
      </c>
      <c r="P36" s="284">
        <v>4739090</v>
      </c>
      <c r="Q36" s="284">
        <v>4739090</v>
      </c>
      <c r="R36" s="284">
        <v>4739000</v>
      </c>
      <c r="S36" s="284">
        <v>385440</v>
      </c>
      <c r="T36" s="284">
        <v>0</v>
      </c>
      <c r="U36" s="284">
        <v>385440</v>
      </c>
      <c r="V36" s="284">
        <v>385440</v>
      </c>
      <c r="W36" s="284">
        <v>2635200</v>
      </c>
      <c r="X36" s="284">
        <v>385440</v>
      </c>
      <c r="Y36" s="284">
        <v>385440</v>
      </c>
      <c r="Z36" s="284">
        <v>385000</v>
      </c>
      <c r="AA36" s="284">
        <v>2830696</v>
      </c>
      <c r="AB36" s="284">
        <v>0</v>
      </c>
      <c r="AC36" s="284">
        <v>2830696</v>
      </c>
      <c r="AD36" s="284">
        <v>2830696</v>
      </c>
      <c r="AE36" s="284">
        <v>8640000</v>
      </c>
      <c r="AF36" s="284">
        <v>2830696</v>
      </c>
      <c r="AG36" s="284">
        <v>2830696</v>
      </c>
      <c r="AH36" s="284">
        <v>2830000</v>
      </c>
      <c r="AI36" s="284">
        <v>0</v>
      </c>
      <c r="AJ36" s="284">
        <v>0</v>
      </c>
      <c r="AK36" s="284">
        <v>0</v>
      </c>
      <c r="AL36" s="284">
        <v>0</v>
      </c>
      <c r="AM36" s="284">
        <v>0</v>
      </c>
      <c r="AN36" s="284">
        <v>0</v>
      </c>
      <c r="AO36" s="284">
        <v>0</v>
      </c>
      <c r="AP36" s="284">
        <v>0</v>
      </c>
      <c r="AQ36" s="284">
        <v>0</v>
      </c>
      <c r="AR36" s="284">
        <v>0</v>
      </c>
      <c r="AS36" s="284">
        <v>0</v>
      </c>
      <c r="AT36" s="284">
        <v>0</v>
      </c>
      <c r="AU36" s="284">
        <v>0</v>
      </c>
      <c r="AV36" s="284">
        <v>0</v>
      </c>
      <c r="AW36" s="284">
        <v>0</v>
      </c>
      <c r="AX36" s="284">
        <v>0</v>
      </c>
      <c r="AY36" s="284">
        <v>606467</v>
      </c>
      <c r="AZ36" s="284">
        <v>0</v>
      </c>
      <c r="BA36" s="284">
        <v>606467</v>
      </c>
      <c r="BB36" s="284">
        <v>606467</v>
      </c>
      <c r="BC36" s="284">
        <v>606467</v>
      </c>
      <c r="BD36" s="284">
        <v>606467</v>
      </c>
      <c r="BE36" s="284">
        <v>606467</v>
      </c>
      <c r="BF36" s="284">
        <v>606000</v>
      </c>
      <c r="BG36" s="284">
        <v>4398900</v>
      </c>
      <c r="BH36" s="284">
        <v>0</v>
      </c>
      <c r="BI36" s="284">
        <v>4398900</v>
      </c>
      <c r="BJ36" s="284">
        <v>4398900</v>
      </c>
      <c r="BK36" s="284">
        <v>8000000</v>
      </c>
      <c r="BL36" s="284">
        <v>4398900</v>
      </c>
      <c r="BM36" s="284">
        <v>4398900</v>
      </c>
      <c r="BN36" s="284">
        <v>2199000</v>
      </c>
      <c r="BO36" s="284">
        <v>11000000</v>
      </c>
      <c r="BP36" s="284">
        <v>0</v>
      </c>
      <c r="BQ36" s="284">
        <v>11000000</v>
      </c>
      <c r="BR36" s="284">
        <v>11000000</v>
      </c>
      <c r="BS36" s="284">
        <v>11000000</v>
      </c>
      <c r="BT36" s="284">
        <v>11000000</v>
      </c>
      <c r="BU36" s="284">
        <v>11000000</v>
      </c>
      <c r="BV36" s="284">
        <v>11000000</v>
      </c>
      <c r="BW36" s="284">
        <v>0</v>
      </c>
      <c r="BX36" s="284">
        <v>0</v>
      </c>
      <c r="BY36" s="284">
        <v>0</v>
      </c>
      <c r="BZ36" s="284">
        <v>0</v>
      </c>
      <c r="CA36" s="284">
        <v>0</v>
      </c>
      <c r="CB36" s="284">
        <v>0</v>
      </c>
      <c r="CC36" s="284">
        <v>0</v>
      </c>
      <c r="CD36" s="284">
        <v>0</v>
      </c>
      <c r="CE36" s="284">
        <v>5500000</v>
      </c>
      <c r="CF36" s="284">
        <v>0</v>
      </c>
      <c r="CG36" s="284">
        <v>5500000</v>
      </c>
      <c r="CH36" s="284">
        <v>5500000</v>
      </c>
      <c r="CI36" s="284">
        <v>5500000</v>
      </c>
      <c r="CJ36" s="284">
        <v>5500000</v>
      </c>
      <c r="CK36" s="284">
        <v>5500000</v>
      </c>
      <c r="CL36" s="284">
        <v>5500000</v>
      </c>
      <c r="CM36" s="284">
        <v>0</v>
      </c>
      <c r="CN36" s="284">
        <v>0</v>
      </c>
      <c r="CO36" s="284">
        <v>0</v>
      </c>
      <c r="CP36" s="284">
        <v>0</v>
      </c>
      <c r="CQ36" s="284">
        <v>0</v>
      </c>
      <c r="CR36" s="284">
        <v>0</v>
      </c>
      <c r="CS36" s="284">
        <v>0</v>
      </c>
      <c r="CT36" s="284">
        <v>0</v>
      </c>
      <c r="CU36" s="284">
        <v>3300000</v>
      </c>
      <c r="CV36" s="284">
        <v>0</v>
      </c>
      <c r="CW36" s="284">
        <v>3300000</v>
      </c>
      <c r="CX36" s="284">
        <v>3300000</v>
      </c>
      <c r="CY36" s="284">
        <v>3300000</v>
      </c>
      <c r="CZ36" s="284">
        <v>3300000</v>
      </c>
      <c r="DA36" s="284">
        <v>3300000</v>
      </c>
      <c r="DB36" s="284">
        <v>3300000</v>
      </c>
      <c r="DC36" s="284">
        <v>0</v>
      </c>
      <c r="DD36" s="284">
        <v>0</v>
      </c>
      <c r="DE36" s="284">
        <v>0</v>
      </c>
      <c r="DF36" s="284">
        <v>0</v>
      </c>
      <c r="DG36" s="284">
        <v>0</v>
      </c>
      <c r="DH36" s="284">
        <v>0</v>
      </c>
      <c r="DI36" s="284">
        <v>0</v>
      </c>
      <c r="DJ36" s="284">
        <v>0</v>
      </c>
      <c r="DK36" s="284">
        <v>0</v>
      </c>
      <c r="DL36" s="284">
        <v>0</v>
      </c>
      <c r="DM36" s="284">
        <v>0</v>
      </c>
      <c r="DN36" s="284">
        <v>0</v>
      </c>
      <c r="DO36" s="284">
        <v>0</v>
      </c>
      <c r="DP36" s="284">
        <v>0</v>
      </c>
      <c r="DQ36" s="284">
        <v>0</v>
      </c>
      <c r="DR36" s="284">
        <v>0</v>
      </c>
      <c r="DS36" s="284">
        <v>2022</v>
      </c>
      <c r="DT36" s="284">
        <v>7</v>
      </c>
      <c r="DU36" s="284">
        <v>27</v>
      </c>
      <c r="DV36" s="284" t="s">
        <v>684</v>
      </c>
      <c r="DW36" s="284" t="s">
        <v>716</v>
      </c>
      <c r="DX36" s="284" t="s">
        <v>679</v>
      </c>
    </row>
    <row r="37" spans="1:128">
      <c r="A37" s="284">
        <v>59</v>
      </c>
      <c r="B37" s="284">
        <v>110000</v>
      </c>
      <c r="C37" s="284">
        <v>0</v>
      </c>
      <c r="D37" s="284">
        <v>0</v>
      </c>
      <c r="E37" s="284">
        <v>0</v>
      </c>
      <c r="F37" s="284">
        <v>0</v>
      </c>
      <c r="G37" s="284">
        <v>0</v>
      </c>
      <c r="H37" s="284">
        <v>0</v>
      </c>
      <c r="I37" s="284">
        <v>0</v>
      </c>
      <c r="J37" s="284">
        <v>0</v>
      </c>
      <c r="K37" s="284">
        <v>0</v>
      </c>
      <c r="L37" s="284">
        <v>0</v>
      </c>
      <c r="M37" s="284">
        <v>0</v>
      </c>
      <c r="N37" s="284">
        <v>0</v>
      </c>
      <c r="O37" s="284">
        <v>0</v>
      </c>
      <c r="P37" s="284">
        <v>0</v>
      </c>
      <c r="Q37" s="284">
        <v>0</v>
      </c>
      <c r="R37" s="284">
        <v>0</v>
      </c>
      <c r="S37" s="284">
        <v>110000</v>
      </c>
      <c r="T37" s="284">
        <v>0</v>
      </c>
      <c r="U37" s="284">
        <v>110000</v>
      </c>
      <c r="V37" s="284">
        <v>110000</v>
      </c>
      <c r="W37" s="284">
        <v>6588000</v>
      </c>
      <c r="X37" s="284">
        <v>110000</v>
      </c>
      <c r="Y37" s="284">
        <v>110000</v>
      </c>
      <c r="Z37" s="284">
        <v>110000</v>
      </c>
      <c r="AA37" s="284">
        <v>0</v>
      </c>
      <c r="AB37" s="284">
        <v>0</v>
      </c>
      <c r="AC37" s="284">
        <v>0</v>
      </c>
      <c r="AD37" s="284">
        <v>0</v>
      </c>
      <c r="AE37" s="284">
        <v>0</v>
      </c>
      <c r="AF37" s="284">
        <v>0</v>
      </c>
      <c r="AG37" s="284">
        <v>0</v>
      </c>
      <c r="AH37" s="284">
        <v>0</v>
      </c>
      <c r="AI37" s="284">
        <v>0</v>
      </c>
      <c r="AJ37" s="284">
        <v>0</v>
      </c>
      <c r="AK37" s="284">
        <v>0</v>
      </c>
      <c r="AL37" s="284">
        <v>0</v>
      </c>
      <c r="AM37" s="284">
        <v>0</v>
      </c>
      <c r="AN37" s="284">
        <v>0</v>
      </c>
      <c r="AO37" s="284">
        <v>0</v>
      </c>
      <c r="AP37" s="284">
        <v>0</v>
      </c>
      <c r="AQ37" s="284">
        <v>0</v>
      </c>
      <c r="AR37" s="284">
        <v>0</v>
      </c>
      <c r="AS37" s="284">
        <v>0</v>
      </c>
      <c r="AT37" s="284">
        <v>0</v>
      </c>
      <c r="AU37" s="284">
        <v>0</v>
      </c>
      <c r="AV37" s="284">
        <v>0</v>
      </c>
      <c r="AW37" s="284">
        <v>0</v>
      </c>
      <c r="AX37" s="284">
        <v>0</v>
      </c>
      <c r="AY37" s="284">
        <v>0</v>
      </c>
      <c r="AZ37" s="284">
        <v>0</v>
      </c>
      <c r="BA37" s="284">
        <v>0</v>
      </c>
      <c r="BB37" s="284">
        <v>0</v>
      </c>
      <c r="BC37" s="284">
        <v>0</v>
      </c>
      <c r="BD37" s="284">
        <v>0</v>
      </c>
      <c r="BE37" s="284">
        <v>0</v>
      </c>
      <c r="BF37" s="284">
        <v>0</v>
      </c>
      <c r="BG37" s="284">
        <v>0</v>
      </c>
      <c r="BH37" s="284">
        <v>0</v>
      </c>
      <c r="BI37" s="284">
        <v>0</v>
      </c>
      <c r="BJ37" s="284">
        <v>0</v>
      </c>
      <c r="BK37" s="284">
        <v>0</v>
      </c>
      <c r="BL37" s="284">
        <v>0</v>
      </c>
      <c r="BM37" s="284">
        <v>0</v>
      </c>
      <c r="BN37" s="284">
        <v>0</v>
      </c>
      <c r="BO37" s="284">
        <v>0</v>
      </c>
      <c r="BP37" s="284">
        <v>0</v>
      </c>
      <c r="BQ37" s="284">
        <v>0</v>
      </c>
      <c r="BR37" s="284">
        <v>0</v>
      </c>
      <c r="BS37" s="284">
        <v>0</v>
      </c>
      <c r="BT37" s="284">
        <v>0</v>
      </c>
      <c r="BU37" s="284">
        <v>0</v>
      </c>
      <c r="BV37" s="284">
        <v>0</v>
      </c>
      <c r="BW37" s="284">
        <v>0</v>
      </c>
      <c r="BX37" s="284">
        <v>0</v>
      </c>
      <c r="BY37" s="284">
        <v>0</v>
      </c>
      <c r="BZ37" s="284">
        <v>0</v>
      </c>
      <c r="CA37" s="284">
        <v>0</v>
      </c>
      <c r="CB37" s="284">
        <v>0</v>
      </c>
      <c r="CC37" s="284">
        <v>0</v>
      </c>
      <c r="CD37" s="284">
        <v>0</v>
      </c>
      <c r="CE37" s="284">
        <v>0</v>
      </c>
      <c r="CF37" s="284">
        <v>0</v>
      </c>
      <c r="CG37" s="284">
        <v>0</v>
      </c>
      <c r="CH37" s="284">
        <v>0</v>
      </c>
      <c r="CI37" s="284">
        <v>0</v>
      </c>
      <c r="CJ37" s="284">
        <v>0</v>
      </c>
      <c r="CK37" s="284">
        <v>0</v>
      </c>
      <c r="CL37" s="284">
        <v>0</v>
      </c>
      <c r="CM37" s="284">
        <v>0</v>
      </c>
      <c r="CN37" s="284">
        <v>0</v>
      </c>
      <c r="CO37" s="284">
        <v>0</v>
      </c>
      <c r="CP37" s="284">
        <v>0</v>
      </c>
      <c r="CQ37" s="284">
        <v>0</v>
      </c>
      <c r="CR37" s="284">
        <v>0</v>
      </c>
      <c r="CS37" s="284">
        <v>0</v>
      </c>
      <c r="CT37" s="284">
        <v>0</v>
      </c>
      <c r="CU37" s="284">
        <v>0</v>
      </c>
      <c r="CV37" s="284">
        <v>0</v>
      </c>
      <c r="CW37" s="284">
        <v>0</v>
      </c>
      <c r="CX37" s="284">
        <v>0</v>
      </c>
      <c r="CY37" s="284">
        <v>0</v>
      </c>
      <c r="CZ37" s="284">
        <v>0</v>
      </c>
      <c r="DA37" s="284">
        <v>0</v>
      </c>
      <c r="DB37" s="284">
        <v>0</v>
      </c>
      <c r="DC37" s="284">
        <v>0</v>
      </c>
      <c r="DD37" s="284">
        <v>0</v>
      </c>
      <c r="DE37" s="284">
        <v>0</v>
      </c>
      <c r="DF37" s="284">
        <v>0</v>
      </c>
      <c r="DG37" s="284">
        <v>0</v>
      </c>
      <c r="DH37" s="284">
        <v>0</v>
      </c>
      <c r="DI37" s="284">
        <v>0</v>
      </c>
      <c r="DJ37" s="284">
        <v>0</v>
      </c>
      <c r="DK37" s="284">
        <v>0</v>
      </c>
      <c r="DL37" s="284">
        <v>0</v>
      </c>
      <c r="DM37" s="284">
        <v>0</v>
      </c>
      <c r="DN37" s="284">
        <v>0</v>
      </c>
      <c r="DO37" s="284">
        <v>0</v>
      </c>
      <c r="DP37" s="284">
        <v>0</v>
      </c>
      <c r="DQ37" s="284">
        <v>0</v>
      </c>
      <c r="DR37" s="284">
        <v>0</v>
      </c>
      <c r="DS37" s="284">
        <v>2022</v>
      </c>
      <c r="DT37" s="284">
        <v>7</v>
      </c>
      <c r="DU37" s="284">
        <v>27</v>
      </c>
      <c r="DV37" s="284" t="s">
        <v>680</v>
      </c>
      <c r="DW37" s="284" t="s">
        <v>717</v>
      </c>
      <c r="DX37" s="284" t="s">
        <v>679</v>
      </c>
    </row>
    <row r="38" spans="1:128">
      <c r="A38" s="284">
        <v>61</v>
      </c>
      <c r="B38" s="284">
        <v>208000</v>
      </c>
      <c r="C38" s="284">
        <v>0</v>
      </c>
      <c r="D38" s="284">
        <v>0</v>
      </c>
      <c r="E38" s="284">
        <v>0</v>
      </c>
      <c r="F38" s="284">
        <v>0</v>
      </c>
      <c r="G38" s="284">
        <v>0</v>
      </c>
      <c r="H38" s="284">
        <v>0</v>
      </c>
      <c r="I38" s="284">
        <v>0</v>
      </c>
      <c r="J38" s="284">
        <v>0</v>
      </c>
      <c r="K38" s="284">
        <v>0</v>
      </c>
      <c r="L38" s="284">
        <v>0</v>
      </c>
      <c r="M38" s="284">
        <v>0</v>
      </c>
      <c r="N38" s="284">
        <v>0</v>
      </c>
      <c r="O38" s="284">
        <v>0</v>
      </c>
      <c r="P38" s="284">
        <v>0</v>
      </c>
      <c r="Q38" s="284">
        <v>0</v>
      </c>
      <c r="R38" s="284">
        <v>0</v>
      </c>
      <c r="S38" s="284">
        <v>208589.1</v>
      </c>
      <c r="T38" s="284">
        <v>0</v>
      </c>
      <c r="U38" s="284">
        <v>208589.1</v>
      </c>
      <c r="V38" s="284">
        <v>208589.1</v>
      </c>
      <c r="W38" s="284">
        <v>13834800</v>
      </c>
      <c r="X38" s="284">
        <v>208589.1</v>
      </c>
      <c r="Y38" s="284">
        <v>208589.1</v>
      </c>
      <c r="Z38" s="284">
        <v>208000</v>
      </c>
      <c r="AA38" s="284">
        <v>0</v>
      </c>
      <c r="AB38" s="284">
        <v>0</v>
      </c>
      <c r="AC38" s="284">
        <v>0</v>
      </c>
      <c r="AD38" s="284">
        <v>0</v>
      </c>
      <c r="AE38" s="284">
        <v>0</v>
      </c>
      <c r="AF38" s="284">
        <v>0</v>
      </c>
      <c r="AG38" s="284">
        <v>0</v>
      </c>
      <c r="AH38" s="284">
        <v>0</v>
      </c>
      <c r="AI38" s="284">
        <v>0</v>
      </c>
      <c r="AJ38" s="284">
        <v>0</v>
      </c>
      <c r="AK38" s="284">
        <v>0</v>
      </c>
      <c r="AL38" s="284">
        <v>0</v>
      </c>
      <c r="AM38" s="284">
        <v>0</v>
      </c>
      <c r="AN38" s="284">
        <v>0</v>
      </c>
      <c r="AO38" s="284">
        <v>0</v>
      </c>
      <c r="AP38" s="284">
        <v>0</v>
      </c>
      <c r="AQ38" s="284">
        <v>0</v>
      </c>
      <c r="AR38" s="284">
        <v>0</v>
      </c>
      <c r="AS38" s="284">
        <v>0</v>
      </c>
      <c r="AT38" s="284">
        <v>0</v>
      </c>
      <c r="AU38" s="284">
        <v>0</v>
      </c>
      <c r="AV38" s="284">
        <v>0</v>
      </c>
      <c r="AW38" s="284">
        <v>0</v>
      </c>
      <c r="AX38" s="284">
        <v>0</v>
      </c>
      <c r="AY38" s="284">
        <v>0</v>
      </c>
      <c r="AZ38" s="284">
        <v>0</v>
      </c>
      <c r="BA38" s="284">
        <v>0</v>
      </c>
      <c r="BB38" s="284">
        <v>0</v>
      </c>
      <c r="BC38" s="284">
        <v>0</v>
      </c>
      <c r="BD38" s="284">
        <v>0</v>
      </c>
      <c r="BE38" s="284">
        <v>0</v>
      </c>
      <c r="BF38" s="284">
        <v>0</v>
      </c>
      <c r="BG38" s="284">
        <v>0</v>
      </c>
      <c r="BH38" s="284">
        <v>0</v>
      </c>
      <c r="BI38" s="284">
        <v>0</v>
      </c>
      <c r="BJ38" s="284">
        <v>0</v>
      </c>
      <c r="BK38" s="284">
        <v>0</v>
      </c>
      <c r="BL38" s="284">
        <v>0</v>
      </c>
      <c r="BM38" s="284">
        <v>0</v>
      </c>
      <c r="BN38" s="284">
        <v>0</v>
      </c>
      <c r="BO38" s="284">
        <v>0</v>
      </c>
      <c r="BP38" s="284">
        <v>0</v>
      </c>
      <c r="BQ38" s="284">
        <v>0</v>
      </c>
      <c r="BR38" s="284">
        <v>0</v>
      </c>
      <c r="BS38" s="284">
        <v>0</v>
      </c>
      <c r="BT38" s="284">
        <v>0</v>
      </c>
      <c r="BU38" s="284">
        <v>0</v>
      </c>
      <c r="BV38" s="284">
        <v>0</v>
      </c>
      <c r="BW38" s="284">
        <v>0</v>
      </c>
      <c r="BX38" s="284">
        <v>0</v>
      </c>
      <c r="BY38" s="284">
        <v>0</v>
      </c>
      <c r="BZ38" s="284">
        <v>0</v>
      </c>
      <c r="CA38" s="284">
        <v>0</v>
      </c>
      <c r="CB38" s="284">
        <v>0</v>
      </c>
      <c r="CC38" s="284">
        <v>0</v>
      </c>
      <c r="CD38" s="284">
        <v>0</v>
      </c>
      <c r="CE38" s="284">
        <v>0</v>
      </c>
      <c r="CF38" s="284">
        <v>0</v>
      </c>
      <c r="CG38" s="284">
        <v>0</v>
      </c>
      <c r="CH38" s="284">
        <v>0</v>
      </c>
      <c r="CI38" s="284">
        <v>0</v>
      </c>
      <c r="CJ38" s="284">
        <v>0</v>
      </c>
      <c r="CK38" s="284">
        <v>0</v>
      </c>
      <c r="CL38" s="284">
        <v>0</v>
      </c>
      <c r="CM38" s="284">
        <v>0</v>
      </c>
      <c r="CN38" s="284">
        <v>0</v>
      </c>
      <c r="CO38" s="284">
        <v>0</v>
      </c>
      <c r="CP38" s="284">
        <v>0</v>
      </c>
      <c r="CQ38" s="284">
        <v>0</v>
      </c>
      <c r="CR38" s="284">
        <v>0</v>
      </c>
      <c r="CS38" s="284">
        <v>0</v>
      </c>
      <c r="CT38" s="284">
        <v>0</v>
      </c>
      <c r="CU38" s="284">
        <v>0</v>
      </c>
      <c r="CV38" s="284">
        <v>0</v>
      </c>
      <c r="CW38" s="284">
        <v>0</v>
      </c>
      <c r="CX38" s="284">
        <v>0</v>
      </c>
      <c r="CY38" s="284">
        <v>0</v>
      </c>
      <c r="CZ38" s="284">
        <v>0</v>
      </c>
      <c r="DA38" s="284">
        <v>0</v>
      </c>
      <c r="DB38" s="284">
        <v>0</v>
      </c>
      <c r="DC38" s="284">
        <v>0</v>
      </c>
      <c r="DD38" s="284">
        <v>0</v>
      </c>
      <c r="DE38" s="284">
        <v>0</v>
      </c>
      <c r="DF38" s="284">
        <v>0</v>
      </c>
      <c r="DG38" s="284">
        <v>0</v>
      </c>
      <c r="DH38" s="284">
        <v>0</v>
      </c>
      <c r="DI38" s="284">
        <v>0</v>
      </c>
      <c r="DJ38" s="284">
        <v>0</v>
      </c>
      <c r="DK38" s="284">
        <v>0</v>
      </c>
      <c r="DL38" s="284">
        <v>0</v>
      </c>
      <c r="DM38" s="284">
        <v>0</v>
      </c>
      <c r="DN38" s="284">
        <v>0</v>
      </c>
      <c r="DO38" s="284">
        <v>0</v>
      </c>
      <c r="DP38" s="284">
        <v>0</v>
      </c>
      <c r="DQ38" s="284">
        <v>0</v>
      </c>
      <c r="DR38" s="284">
        <v>0</v>
      </c>
      <c r="DS38" s="284">
        <v>2022</v>
      </c>
      <c r="DT38" s="284">
        <v>7</v>
      </c>
      <c r="DU38" s="284">
        <v>27</v>
      </c>
      <c r="DV38" s="284" t="s">
        <v>684</v>
      </c>
      <c r="DW38" s="284" t="s">
        <v>681</v>
      </c>
      <c r="DX38" s="284" t="s">
        <v>679</v>
      </c>
    </row>
    <row r="39" spans="1:128">
      <c r="A39" s="284">
        <v>62</v>
      </c>
      <c r="B39" s="284">
        <v>5040000</v>
      </c>
      <c r="C39" s="284">
        <v>0</v>
      </c>
      <c r="D39" s="284">
        <v>0</v>
      </c>
      <c r="E39" s="284">
        <v>0</v>
      </c>
      <c r="F39" s="284">
        <v>0</v>
      </c>
      <c r="G39" s="284">
        <v>0</v>
      </c>
      <c r="H39" s="284">
        <v>0</v>
      </c>
      <c r="I39" s="284">
        <v>0</v>
      </c>
      <c r="J39" s="284">
        <v>0</v>
      </c>
      <c r="K39" s="284">
        <v>0</v>
      </c>
      <c r="L39" s="284">
        <v>0</v>
      </c>
      <c r="M39" s="284">
        <v>0</v>
      </c>
      <c r="N39" s="284">
        <v>0</v>
      </c>
      <c r="O39" s="284">
        <v>0</v>
      </c>
      <c r="P39" s="284">
        <v>0</v>
      </c>
      <c r="Q39" s="284">
        <v>0</v>
      </c>
      <c r="R39" s="284">
        <v>0</v>
      </c>
      <c r="S39" s="284">
        <v>750750</v>
      </c>
      <c r="T39" s="284">
        <v>0</v>
      </c>
      <c r="U39" s="284">
        <v>750750</v>
      </c>
      <c r="V39" s="284">
        <v>750750</v>
      </c>
      <c r="W39" s="284">
        <v>5400000</v>
      </c>
      <c r="X39" s="284">
        <v>750750</v>
      </c>
      <c r="Y39" s="284">
        <v>750750</v>
      </c>
      <c r="Z39" s="284">
        <v>750000</v>
      </c>
      <c r="AA39" s="284">
        <v>4290000</v>
      </c>
      <c r="AB39" s="284">
        <v>0</v>
      </c>
      <c r="AC39" s="284">
        <v>4290000</v>
      </c>
      <c r="AD39" s="284">
        <v>4290000</v>
      </c>
      <c r="AE39" s="284">
        <v>4320000</v>
      </c>
      <c r="AF39" s="284">
        <v>4290000</v>
      </c>
      <c r="AG39" s="284">
        <v>4290000</v>
      </c>
      <c r="AH39" s="284">
        <v>4290000</v>
      </c>
      <c r="AI39" s="284">
        <v>0</v>
      </c>
      <c r="AJ39" s="284">
        <v>0</v>
      </c>
      <c r="AK39" s="284">
        <v>0</v>
      </c>
      <c r="AL39" s="284">
        <v>0</v>
      </c>
      <c r="AM39" s="284">
        <v>0</v>
      </c>
      <c r="AN39" s="284">
        <v>0</v>
      </c>
      <c r="AO39" s="284">
        <v>0</v>
      </c>
      <c r="AP39" s="284">
        <v>0</v>
      </c>
      <c r="AQ39" s="284">
        <v>0</v>
      </c>
      <c r="AR39" s="284">
        <v>0</v>
      </c>
      <c r="AS39" s="284">
        <v>0</v>
      </c>
      <c r="AT39" s="284">
        <v>0</v>
      </c>
      <c r="AU39" s="284">
        <v>0</v>
      </c>
      <c r="AV39" s="284">
        <v>0</v>
      </c>
      <c r="AW39" s="284">
        <v>0</v>
      </c>
      <c r="AX39" s="284">
        <v>0</v>
      </c>
      <c r="AY39" s="284">
        <v>0</v>
      </c>
      <c r="AZ39" s="284">
        <v>0</v>
      </c>
      <c r="BA39" s="284">
        <v>0</v>
      </c>
      <c r="BB39" s="284">
        <v>0</v>
      </c>
      <c r="BC39" s="284">
        <v>0</v>
      </c>
      <c r="BD39" s="284">
        <v>0</v>
      </c>
      <c r="BE39" s="284">
        <v>0</v>
      </c>
      <c r="BF39" s="284">
        <v>0</v>
      </c>
      <c r="BG39" s="284">
        <v>0</v>
      </c>
      <c r="BH39" s="284">
        <v>0</v>
      </c>
      <c r="BI39" s="284">
        <v>0</v>
      </c>
      <c r="BJ39" s="284">
        <v>0</v>
      </c>
      <c r="BK39" s="284">
        <v>0</v>
      </c>
      <c r="BL39" s="284">
        <v>0</v>
      </c>
      <c r="BM39" s="284">
        <v>0</v>
      </c>
      <c r="BN39" s="284">
        <v>0</v>
      </c>
      <c r="BO39" s="284">
        <v>0</v>
      </c>
      <c r="BP39" s="284">
        <v>0</v>
      </c>
      <c r="BQ39" s="284">
        <v>0</v>
      </c>
      <c r="BR39" s="284">
        <v>0</v>
      </c>
      <c r="BS39" s="284">
        <v>0</v>
      </c>
      <c r="BT39" s="284">
        <v>0</v>
      </c>
      <c r="BU39" s="284">
        <v>0</v>
      </c>
      <c r="BV39" s="284">
        <v>0</v>
      </c>
      <c r="BW39" s="284">
        <v>0</v>
      </c>
      <c r="BX39" s="284">
        <v>0</v>
      </c>
      <c r="BY39" s="284">
        <v>0</v>
      </c>
      <c r="BZ39" s="284">
        <v>0</v>
      </c>
      <c r="CA39" s="284">
        <v>0</v>
      </c>
      <c r="CB39" s="284">
        <v>0</v>
      </c>
      <c r="CC39" s="284">
        <v>0</v>
      </c>
      <c r="CD39" s="284">
        <v>0</v>
      </c>
      <c r="CE39" s="284">
        <v>0</v>
      </c>
      <c r="CF39" s="284">
        <v>0</v>
      </c>
      <c r="CG39" s="284">
        <v>0</v>
      </c>
      <c r="CH39" s="284">
        <v>0</v>
      </c>
      <c r="CI39" s="284">
        <v>0</v>
      </c>
      <c r="CJ39" s="284">
        <v>0</v>
      </c>
      <c r="CK39" s="284">
        <v>0</v>
      </c>
      <c r="CL39" s="284">
        <v>0</v>
      </c>
      <c r="CM39" s="284">
        <v>0</v>
      </c>
      <c r="CN39" s="284">
        <v>0</v>
      </c>
      <c r="CO39" s="284">
        <v>0</v>
      </c>
      <c r="CP39" s="284">
        <v>0</v>
      </c>
      <c r="CQ39" s="284">
        <v>0</v>
      </c>
      <c r="CR39" s="284">
        <v>0</v>
      </c>
      <c r="CS39" s="284">
        <v>0</v>
      </c>
      <c r="CT39" s="284">
        <v>0</v>
      </c>
      <c r="CU39" s="284">
        <v>0</v>
      </c>
      <c r="CV39" s="284">
        <v>0</v>
      </c>
      <c r="CW39" s="284">
        <v>0</v>
      </c>
      <c r="CX39" s="284">
        <v>0</v>
      </c>
      <c r="CY39" s="284">
        <v>0</v>
      </c>
      <c r="CZ39" s="284">
        <v>0</v>
      </c>
      <c r="DA39" s="284">
        <v>0</v>
      </c>
      <c r="DB39" s="284">
        <v>0</v>
      </c>
      <c r="DC39" s="284">
        <v>0</v>
      </c>
      <c r="DD39" s="284">
        <v>0</v>
      </c>
      <c r="DE39" s="284">
        <v>0</v>
      </c>
      <c r="DF39" s="284">
        <v>0</v>
      </c>
      <c r="DG39" s="284">
        <v>0</v>
      </c>
      <c r="DH39" s="284">
        <v>0</v>
      </c>
      <c r="DI39" s="284">
        <v>0</v>
      </c>
      <c r="DJ39" s="284">
        <v>0</v>
      </c>
      <c r="DK39" s="284">
        <v>0</v>
      </c>
      <c r="DL39" s="284">
        <v>0</v>
      </c>
      <c r="DM39" s="284">
        <v>0</v>
      </c>
      <c r="DN39" s="284">
        <v>0</v>
      </c>
      <c r="DO39" s="284">
        <v>0</v>
      </c>
      <c r="DP39" s="284">
        <v>0</v>
      </c>
      <c r="DQ39" s="284">
        <v>0</v>
      </c>
      <c r="DR39" s="284">
        <v>0</v>
      </c>
      <c r="DS39" s="284">
        <v>2022</v>
      </c>
      <c r="DT39" s="284">
        <v>7</v>
      </c>
      <c r="DU39" s="284">
        <v>27</v>
      </c>
      <c r="DV39" s="284" t="s">
        <v>682</v>
      </c>
      <c r="DW39" s="284" t="s">
        <v>718</v>
      </c>
      <c r="DX39" s="284" t="s">
        <v>679</v>
      </c>
    </row>
    <row r="40" spans="1:128">
      <c r="A40" s="284">
        <v>63</v>
      </c>
      <c r="B40" s="284">
        <v>975000</v>
      </c>
      <c r="C40" s="284">
        <v>79600</v>
      </c>
      <c r="D40" s="284">
        <v>0</v>
      </c>
      <c r="E40" s="284">
        <v>79600</v>
      </c>
      <c r="F40" s="284">
        <v>79600</v>
      </c>
      <c r="G40" s="284">
        <v>133000</v>
      </c>
      <c r="H40" s="284">
        <v>79600</v>
      </c>
      <c r="I40" s="284">
        <v>79600</v>
      </c>
      <c r="J40" s="284">
        <v>79000</v>
      </c>
      <c r="K40" s="284">
        <v>0</v>
      </c>
      <c r="L40" s="284">
        <v>0</v>
      </c>
      <c r="M40" s="284">
        <v>0</v>
      </c>
      <c r="N40" s="284">
        <v>0</v>
      </c>
      <c r="O40" s="284">
        <v>0</v>
      </c>
      <c r="P40" s="284">
        <v>0</v>
      </c>
      <c r="Q40" s="284">
        <v>0</v>
      </c>
      <c r="R40" s="284">
        <v>0</v>
      </c>
      <c r="S40" s="284">
        <v>0</v>
      </c>
      <c r="T40" s="284">
        <v>0</v>
      </c>
      <c r="U40" s="284">
        <v>0</v>
      </c>
      <c r="V40" s="284">
        <v>0</v>
      </c>
      <c r="W40" s="284">
        <v>0</v>
      </c>
      <c r="X40" s="284">
        <v>0</v>
      </c>
      <c r="Y40" s="284">
        <v>0</v>
      </c>
      <c r="Z40" s="284">
        <v>0</v>
      </c>
      <c r="AA40" s="284">
        <v>896500</v>
      </c>
      <c r="AB40" s="284">
        <v>0</v>
      </c>
      <c r="AC40" s="284">
        <v>896500</v>
      </c>
      <c r="AD40" s="284">
        <v>896500</v>
      </c>
      <c r="AE40" s="284">
        <v>4320000</v>
      </c>
      <c r="AF40" s="284">
        <v>896500</v>
      </c>
      <c r="AG40" s="284">
        <v>896500</v>
      </c>
      <c r="AH40" s="284">
        <v>896000</v>
      </c>
      <c r="AI40" s="284">
        <v>0</v>
      </c>
      <c r="AJ40" s="284">
        <v>0</v>
      </c>
      <c r="AK40" s="284">
        <v>0</v>
      </c>
      <c r="AL40" s="284">
        <v>0</v>
      </c>
      <c r="AM40" s="284">
        <v>0</v>
      </c>
      <c r="AN40" s="284">
        <v>0</v>
      </c>
      <c r="AO40" s="284">
        <v>0</v>
      </c>
      <c r="AP40" s="284">
        <v>0</v>
      </c>
      <c r="AQ40" s="284">
        <v>0</v>
      </c>
      <c r="AR40" s="284">
        <v>0</v>
      </c>
      <c r="AS40" s="284">
        <v>0</v>
      </c>
      <c r="AT40" s="284">
        <v>0</v>
      </c>
      <c r="AU40" s="284">
        <v>0</v>
      </c>
      <c r="AV40" s="284">
        <v>0</v>
      </c>
      <c r="AW40" s="284">
        <v>0</v>
      </c>
      <c r="AX40" s="284">
        <v>0</v>
      </c>
      <c r="AY40" s="284">
        <v>0</v>
      </c>
      <c r="AZ40" s="284">
        <v>0</v>
      </c>
      <c r="BA40" s="284">
        <v>0</v>
      </c>
      <c r="BB40" s="284">
        <v>0</v>
      </c>
      <c r="BC40" s="284">
        <v>0</v>
      </c>
      <c r="BD40" s="284">
        <v>0</v>
      </c>
      <c r="BE40" s="284">
        <v>0</v>
      </c>
      <c r="BF40" s="284">
        <v>0</v>
      </c>
      <c r="BG40" s="284">
        <v>0</v>
      </c>
      <c r="BH40" s="284">
        <v>0</v>
      </c>
      <c r="BI40" s="284">
        <v>0</v>
      </c>
      <c r="BJ40" s="284">
        <v>0</v>
      </c>
      <c r="BK40" s="284">
        <v>0</v>
      </c>
      <c r="BL40" s="284">
        <v>0</v>
      </c>
      <c r="BM40" s="284">
        <v>0</v>
      </c>
      <c r="BN40" s="284">
        <v>0</v>
      </c>
      <c r="BO40" s="284">
        <v>0</v>
      </c>
      <c r="BP40" s="284">
        <v>0</v>
      </c>
      <c r="BQ40" s="284">
        <v>0</v>
      </c>
      <c r="BR40" s="284">
        <v>0</v>
      </c>
      <c r="BS40" s="284">
        <v>0</v>
      </c>
      <c r="BT40" s="284">
        <v>0</v>
      </c>
      <c r="BU40" s="284">
        <v>0</v>
      </c>
      <c r="BV40" s="284">
        <v>0</v>
      </c>
      <c r="BW40" s="284">
        <v>0</v>
      </c>
      <c r="BX40" s="284">
        <v>0</v>
      </c>
      <c r="BY40" s="284">
        <v>0</v>
      </c>
      <c r="BZ40" s="284">
        <v>0</v>
      </c>
      <c r="CA40" s="284">
        <v>0</v>
      </c>
      <c r="CB40" s="284">
        <v>0</v>
      </c>
      <c r="CC40" s="284">
        <v>0</v>
      </c>
      <c r="CD40" s="284">
        <v>0</v>
      </c>
      <c r="CE40" s="284">
        <v>0</v>
      </c>
      <c r="CF40" s="284">
        <v>0</v>
      </c>
      <c r="CG40" s="284">
        <v>0</v>
      </c>
      <c r="CH40" s="284">
        <v>0</v>
      </c>
      <c r="CI40" s="284">
        <v>0</v>
      </c>
      <c r="CJ40" s="284">
        <v>0</v>
      </c>
      <c r="CK40" s="284">
        <v>0</v>
      </c>
      <c r="CL40" s="284">
        <v>0</v>
      </c>
      <c r="CM40" s="284">
        <v>0</v>
      </c>
      <c r="CN40" s="284">
        <v>0</v>
      </c>
      <c r="CO40" s="284">
        <v>0</v>
      </c>
      <c r="CP40" s="284">
        <v>0</v>
      </c>
      <c r="CQ40" s="284">
        <v>0</v>
      </c>
      <c r="CR40" s="284">
        <v>0</v>
      </c>
      <c r="CS40" s="284">
        <v>0</v>
      </c>
      <c r="CT40" s="284">
        <v>0</v>
      </c>
      <c r="CU40" s="284">
        <v>0</v>
      </c>
      <c r="CV40" s="284">
        <v>0</v>
      </c>
      <c r="CW40" s="284">
        <v>0</v>
      </c>
      <c r="CX40" s="284">
        <v>0</v>
      </c>
      <c r="CY40" s="284">
        <v>0</v>
      </c>
      <c r="CZ40" s="284">
        <v>0</v>
      </c>
      <c r="DA40" s="284">
        <v>0</v>
      </c>
      <c r="DB40" s="284">
        <v>0</v>
      </c>
      <c r="DC40" s="284">
        <v>0</v>
      </c>
      <c r="DD40" s="284">
        <v>0</v>
      </c>
      <c r="DE40" s="284">
        <v>0</v>
      </c>
      <c r="DF40" s="284">
        <v>0</v>
      </c>
      <c r="DG40" s="284">
        <v>0</v>
      </c>
      <c r="DH40" s="284">
        <v>0</v>
      </c>
      <c r="DI40" s="284">
        <v>0</v>
      </c>
      <c r="DJ40" s="284">
        <v>0</v>
      </c>
      <c r="DK40" s="284">
        <v>0</v>
      </c>
      <c r="DL40" s="284">
        <v>0</v>
      </c>
      <c r="DM40" s="284">
        <v>0</v>
      </c>
      <c r="DN40" s="284">
        <v>0</v>
      </c>
      <c r="DO40" s="284">
        <v>0</v>
      </c>
      <c r="DP40" s="284">
        <v>0</v>
      </c>
      <c r="DQ40" s="284">
        <v>0</v>
      </c>
      <c r="DR40" s="284">
        <v>0</v>
      </c>
      <c r="DS40" s="284">
        <v>2022</v>
      </c>
      <c r="DT40" s="284">
        <v>7</v>
      </c>
      <c r="DU40" s="284">
        <v>27</v>
      </c>
      <c r="DV40" s="284" t="s">
        <v>682</v>
      </c>
      <c r="DW40" s="284" t="s">
        <v>719</v>
      </c>
      <c r="DX40" s="284" t="s">
        <v>679</v>
      </c>
    </row>
    <row r="41" spans="1:128">
      <c r="A41" s="284">
        <v>64</v>
      </c>
      <c r="B41" s="284">
        <v>4356000</v>
      </c>
      <c r="C41" s="284">
        <v>0</v>
      </c>
      <c r="D41" s="284">
        <v>0</v>
      </c>
      <c r="E41" s="284">
        <v>0</v>
      </c>
      <c r="F41" s="284">
        <v>0</v>
      </c>
      <c r="G41" s="284">
        <v>0</v>
      </c>
      <c r="H41" s="284">
        <v>0</v>
      </c>
      <c r="I41" s="284">
        <v>0</v>
      </c>
      <c r="J41" s="284">
        <v>0</v>
      </c>
      <c r="K41" s="284">
        <v>0</v>
      </c>
      <c r="L41" s="284">
        <v>0</v>
      </c>
      <c r="M41" s="284">
        <v>0</v>
      </c>
      <c r="N41" s="284">
        <v>0</v>
      </c>
      <c r="O41" s="284">
        <v>0</v>
      </c>
      <c r="P41" s="284">
        <v>0</v>
      </c>
      <c r="Q41" s="284">
        <v>0</v>
      </c>
      <c r="R41" s="284">
        <v>0</v>
      </c>
      <c r="S41" s="284">
        <v>0</v>
      </c>
      <c r="T41" s="284">
        <v>0</v>
      </c>
      <c r="U41" s="284">
        <v>0</v>
      </c>
      <c r="V41" s="284">
        <v>0</v>
      </c>
      <c r="W41" s="284">
        <v>0</v>
      </c>
      <c r="X41" s="284">
        <v>0</v>
      </c>
      <c r="Y41" s="284">
        <v>0</v>
      </c>
      <c r="Z41" s="284">
        <v>0</v>
      </c>
      <c r="AA41" s="284">
        <v>0</v>
      </c>
      <c r="AB41" s="284">
        <v>0</v>
      </c>
      <c r="AC41" s="284">
        <v>0</v>
      </c>
      <c r="AD41" s="284">
        <v>0</v>
      </c>
      <c r="AE41" s="284">
        <v>0</v>
      </c>
      <c r="AF41" s="284">
        <v>0</v>
      </c>
      <c r="AG41" s="284">
        <v>0</v>
      </c>
      <c r="AH41" s="284">
        <v>0</v>
      </c>
      <c r="AI41" s="284">
        <v>0</v>
      </c>
      <c r="AJ41" s="284">
        <v>0</v>
      </c>
      <c r="AK41" s="284">
        <v>0</v>
      </c>
      <c r="AL41" s="284">
        <v>0</v>
      </c>
      <c r="AM41" s="284">
        <v>0</v>
      </c>
      <c r="AN41" s="284">
        <v>0</v>
      </c>
      <c r="AO41" s="284">
        <v>0</v>
      </c>
      <c r="AP41" s="284">
        <v>0</v>
      </c>
      <c r="AQ41" s="284">
        <v>0</v>
      </c>
      <c r="AR41" s="284">
        <v>0</v>
      </c>
      <c r="AS41" s="284">
        <v>0</v>
      </c>
      <c r="AT41" s="284">
        <v>0</v>
      </c>
      <c r="AU41" s="284">
        <v>0</v>
      </c>
      <c r="AV41" s="284">
        <v>0</v>
      </c>
      <c r="AW41" s="284">
        <v>0</v>
      </c>
      <c r="AX41" s="284">
        <v>0</v>
      </c>
      <c r="AY41" s="284">
        <v>0</v>
      </c>
      <c r="AZ41" s="284">
        <v>0</v>
      </c>
      <c r="BA41" s="284">
        <v>0</v>
      </c>
      <c r="BB41" s="284">
        <v>0</v>
      </c>
      <c r="BC41" s="284">
        <v>0</v>
      </c>
      <c r="BD41" s="284">
        <v>0</v>
      </c>
      <c r="BE41" s="284">
        <v>0</v>
      </c>
      <c r="BF41" s="284">
        <v>0</v>
      </c>
      <c r="BG41" s="284">
        <v>0</v>
      </c>
      <c r="BH41" s="284">
        <v>0</v>
      </c>
      <c r="BI41" s="284">
        <v>0</v>
      </c>
      <c r="BJ41" s="284">
        <v>0</v>
      </c>
      <c r="BK41" s="284">
        <v>0</v>
      </c>
      <c r="BL41" s="284">
        <v>0</v>
      </c>
      <c r="BM41" s="284">
        <v>0</v>
      </c>
      <c r="BN41" s="284">
        <v>0</v>
      </c>
      <c r="BO41" s="284">
        <v>0</v>
      </c>
      <c r="BP41" s="284">
        <v>0</v>
      </c>
      <c r="BQ41" s="284">
        <v>0</v>
      </c>
      <c r="BR41" s="284">
        <v>0</v>
      </c>
      <c r="BS41" s="284">
        <v>0</v>
      </c>
      <c r="BT41" s="284">
        <v>0</v>
      </c>
      <c r="BU41" s="284">
        <v>0</v>
      </c>
      <c r="BV41" s="284">
        <v>0</v>
      </c>
      <c r="BW41" s="284">
        <v>0</v>
      </c>
      <c r="BX41" s="284">
        <v>0</v>
      </c>
      <c r="BY41" s="284">
        <v>0</v>
      </c>
      <c r="BZ41" s="284">
        <v>0</v>
      </c>
      <c r="CA41" s="284">
        <v>0</v>
      </c>
      <c r="CB41" s="284">
        <v>0</v>
      </c>
      <c r="CC41" s="284">
        <v>0</v>
      </c>
      <c r="CD41" s="284">
        <v>0</v>
      </c>
      <c r="CE41" s="284">
        <v>0</v>
      </c>
      <c r="CF41" s="284">
        <v>0</v>
      </c>
      <c r="CG41" s="284">
        <v>0</v>
      </c>
      <c r="CH41" s="284">
        <v>0</v>
      </c>
      <c r="CI41" s="284">
        <v>0</v>
      </c>
      <c r="CJ41" s="284">
        <v>0</v>
      </c>
      <c r="CK41" s="284">
        <v>0</v>
      </c>
      <c r="CL41" s="284">
        <v>0</v>
      </c>
      <c r="CM41" s="284">
        <v>0</v>
      </c>
      <c r="CN41" s="284">
        <v>0</v>
      </c>
      <c r="CO41" s="284">
        <v>0</v>
      </c>
      <c r="CP41" s="284">
        <v>0</v>
      </c>
      <c r="CQ41" s="284">
        <v>0</v>
      </c>
      <c r="CR41" s="284">
        <v>0</v>
      </c>
      <c r="CS41" s="284">
        <v>0</v>
      </c>
      <c r="CT41" s="284">
        <v>0</v>
      </c>
      <c r="CU41" s="284">
        <v>4356000</v>
      </c>
      <c r="CV41" s="284">
        <v>0</v>
      </c>
      <c r="CW41" s="284">
        <v>4356000</v>
      </c>
      <c r="CX41" s="284">
        <v>4356000</v>
      </c>
      <c r="CY41" s="284">
        <v>4400000</v>
      </c>
      <c r="CZ41" s="284">
        <v>4356000</v>
      </c>
      <c r="DA41" s="284">
        <v>4356000</v>
      </c>
      <c r="DB41" s="284">
        <v>4356000</v>
      </c>
      <c r="DC41" s="284">
        <v>0</v>
      </c>
      <c r="DD41" s="284">
        <v>0</v>
      </c>
      <c r="DE41" s="284">
        <v>0</v>
      </c>
      <c r="DF41" s="284">
        <v>0</v>
      </c>
      <c r="DG41" s="284">
        <v>0</v>
      </c>
      <c r="DH41" s="284">
        <v>0</v>
      </c>
      <c r="DI41" s="284">
        <v>0</v>
      </c>
      <c r="DJ41" s="284">
        <v>0</v>
      </c>
      <c r="DK41" s="284">
        <v>0</v>
      </c>
      <c r="DL41" s="284">
        <v>0</v>
      </c>
      <c r="DM41" s="284">
        <v>0</v>
      </c>
      <c r="DN41" s="284">
        <v>0</v>
      </c>
      <c r="DO41" s="284">
        <v>0</v>
      </c>
      <c r="DP41" s="284">
        <v>0</v>
      </c>
      <c r="DQ41" s="284">
        <v>0</v>
      </c>
      <c r="DR41" s="284">
        <v>0</v>
      </c>
      <c r="DS41" s="284">
        <v>2022</v>
      </c>
      <c r="DT41" s="284">
        <v>7</v>
      </c>
      <c r="DU41" s="284">
        <v>27</v>
      </c>
      <c r="DV41" s="284" t="s">
        <v>720</v>
      </c>
      <c r="DW41" s="284" t="s">
        <v>721</v>
      </c>
      <c r="DX41" s="284" t="s">
        <v>679</v>
      </c>
    </row>
    <row r="42" spans="1:128">
      <c r="A42" s="284">
        <v>65</v>
      </c>
      <c r="B42" s="284">
        <v>21113000</v>
      </c>
      <c r="C42" s="284">
        <v>0</v>
      </c>
      <c r="D42" s="284">
        <v>0</v>
      </c>
      <c r="E42" s="284">
        <v>0</v>
      </c>
      <c r="F42" s="284">
        <v>0</v>
      </c>
      <c r="G42" s="284">
        <v>0</v>
      </c>
      <c r="H42" s="284">
        <v>0</v>
      </c>
      <c r="I42" s="284">
        <v>0</v>
      </c>
      <c r="J42" s="284">
        <v>0</v>
      </c>
      <c r="K42" s="284">
        <v>0</v>
      </c>
      <c r="L42" s="284">
        <v>0</v>
      </c>
      <c r="M42" s="284">
        <v>0</v>
      </c>
      <c r="N42" s="284">
        <v>0</v>
      </c>
      <c r="O42" s="284">
        <v>0</v>
      </c>
      <c r="P42" s="284">
        <v>0</v>
      </c>
      <c r="Q42" s="284">
        <v>0</v>
      </c>
      <c r="R42" s="284">
        <v>0</v>
      </c>
      <c r="S42" s="284">
        <v>4063175</v>
      </c>
      <c r="T42" s="284">
        <v>0</v>
      </c>
      <c r="U42" s="284">
        <v>4063175</v>
      </c>
      <c r="V42" s="284">
        <v>4063175</v>
      </c>
      <c r="W42" s="284">
        <v>46116000</v>
      </c>
      <c r="X42" s="284">
        <v>4063175</v>
      </c>
      <c r="Y42" s="284">
        <v>4063175</v>
      </c>
      <c r="Z42" s="284">
        <v>4063000</v>
      </c>
      <c r="AA42" s="284">
        <v>0</v>
      </c>
      <c r="AB42" s="284">
        <v>0</v>
      </c>
      <c r="AC42" s="284">
        <v>0</v>
      </c>
      <c r="AD42" s="284">
        <v>0</v>
      </c>
      <c r="AE42" s="284">
        <v>0</v>
      </c>
      <c r="AF42" s="284">
        <v>0</v>
      </c>
      <c r="AG42" s="284">
        <v>0</v>
      </c>
      <c r="AH42" s="284">
        <v>0</v>
      </c>
      <c r="AI42" s="284">
        <v>0</v>
      </c>
      <c r="AJ42" s="284">
        <v>0</v>
      </c>
      <c r="AK42" s="284">
        <v>0</v>
      </c>
      <c r="AL42" s="284">
        <v>0</v>
      </c>
      <c r="AM42" s="284">
        <v>0</v>
      </c>
      <c r="AN42" s="284">
        <v>0</v>
      </c>
      <c r="AO42" s="284">
        <v>0</v>
      </c>
      <c r="AP42" s="284">
        <v>0</v>
      </c>
      <c r="AQ42" s="284">
        <v>0</v>
      </c>
      <c r="AR42" s="284">
        <v>0</v>
      </c>
      <c r="AS42" s="284">
        <v>0</v>
      </c>
      <c r="AT42" s="284">
        <v>0</v>
      </c>
      <c r="AU42" s="284">
        <v>0</v>
      </c>
      <c r="AV42" s="284">
        <v>0</v>
      </c>
      <c r="AW42" s="284">
        <v>0</v>
      </c>
      <c r="AX42" s="284">
        <v>0</v>
      </c>
      <c r="AY42" s="284">
        <v>0</v>
      </c>
      <c r="AZ42" s="284">
        <v>0</v>
      </c>
      <c r="BA42" s="284">
        <v>0</v>
      </c>
      <c r="BB42" s="284">
        <v>0</v>
      </c>
      <c r="BC42" s="284">
        <v>0</v>
      </c>
      <c r="BD42" s="284">
        <v>0</v>
      </c>
      <c r="BE42" s="284">
        <v>0</v>
      </c>
      <c r="BF42" s="284">
        <v>0</v>
      </c>
      <c r="BG42" s="284">
        <v>0</v>
      </c>
      <c r="BH42" s="284">
        <v>0</v>
      </c>
      <c r="BI42" s="284">
        <v>0</v>
      </c>
      <c r="BJ42" s="284">
        <v>0</v>
      </c>
      <c r="BK42" s="284">
        <v>0</v>
      </c>
      <c r="BL42" s="284">
        <v>0</v>
      </c>
      <c r="BM42" s="284">
        <v>0</v>
      </c>
      <c r="BN42" s="284">
        <v>0</v>
      </c>
      <c r="BO42" s="284">
        <v>0</v>
      </c>
      <c r="BP42" s="284">
        <v>0</v>
      </c>
      <c r="BQ42" s="284">
        <v>0</v>
      </c>
      <c r="BR42" s="284">
        <v>0</v>
      </c>
      <c r="BS42" s="284">
        <v>0</v>
      </c>
      <c r="BT42" s="284">
        <v>0</v>
      </c>
      <c r="BU42" s="284">
        <v>0</v>
      </c>
      <c r="BV42" s="284">
        <v>0</v>
      </c>
      <c r="BW42" s="284">
        <v>0</v>
      </c>
      <c r="BX42" s="284">
        <v>0</v>
      </c>
      <c r="BY42" s="284">
        <v>0</v>
      </c>
      <c r="BZ42" s="284">
        <v>0</v>
      </c>
      <c r="CA42" s="284">
        <v>0</v>
      </c>
      <c r="CB42" s="284">
        <v>0</v>
      </c>
      <c r="CC42" s="284">
        <v>0</v>
      </c>
      <c r="CD42" s="284">
        <v>0</v>
      </c>
      <c r="CE42" s="284">
        <v>0</v>
      </c>
      <c r="CF42" s="284">
        <v>0</v>
      </c>
      <c r="CG42" s="284">
        <v>0</v>
      </c>
      <c r="CH42" s="284">
        <v>0</v>
      </c>
      <c r="CI42" s="284">
        <v>0</v>
      </c>
      <c r="CJ42" s="284">
        <v>0</v>
      </c>
      <c r="CK42" s="284">
        <v>0</v>
      </c>
      <c r="CL42" s="284">
        <v>0</v>
      </c>
      <c r="CM42" s="284">
        <v>17050000</v>
      </c>
      <c r="CN42" s="284">
        <v>0</v>
      </c>
      <c r="CO42" s="284">
        <v>17050000</v>
      </c>
      <c r="CP42" s="284">
        <v>17050000</v>
      </c>
      <c r="CQ42" s="284">
        <v>66000000</v>
      </c>
      <c r="CR42" s="284">
        <v>17050000</v>
      </c>
      <c r="CS42" s="284">
        <v>17050000</v>
      </c>
      <c r="CT42" s="284">
        <v>17050000</v>
      </c>
      <c r="CU42" s="284">
        <v>0</v>
      </c>
      <c r="CV42" s="284">
        <v>0</v>
      </c>
      <c r="CW42" s="284">
        <v>0</v>
      </c>
      <c r="CX42" s="284">
        <v>0</v>
      </c>
      <c r="CY42" s="284">
        <v>0</v>
      </c>
      <c r="CZ42" s="284">
        <v>0</v>
      </c>
      <c r="DA42" s="284">
        <v>0</v>
      </c>
      <c r="DB42" s="284">
        <v>0</v>
      </c>
      <c r="DC42" s="284">
        <v>0</v>
      </c>
      <c r="DD42" s="284">
        <v>0</v>
      </c>
      <c r="DE42" s="284">
        <v>0</v>
      </c>
      <c r="DF42" s="284">
        <v>0</v>
      </c>
      <c r="DG42" s="284">
        <v>0</v>
      </c>
      <c r="DH42" s="284">
        <v>0</v>
      </c>
      <c r="DI42" s="284">
        <v>0</v>
      </c>
      <c r="DJ42" s="284">
        <v>0</v>
      </c>
      <c r="DK42" s="284">
        <v>0</v>
      </c>
      <c r="DL42" s="284">
        <v>0</v>
      </c>
      <c r="DM42" s="284">
        <v>0</v>
      </c>
      <c r="DN42" s="284">
        <v>0</v>
      </c>
      <c r="DO42" s="284">
        <v>0</v>
      </c>
      <c r="DP42" s="284">
        <v>0</v>
      </c>
      <c r="DQ42" s="284">
        <v>0</v>
      </c>
      <c r="DR42" s="284">
        <v>0</v>
      </c>
      <c r="DS42" s="284">
        <v>2022</v>
      </c>
      <c r="DT42" s="284">
        <v>7</v>
      </c>
      <c r="DU42" s="284">
        <v>27</v>
      </c>
      <c r="DV42" s="284" t="s">
        <v>682</v>
      </c>
      <c r="DW42" s="284" t="s">
        <v>722</v>
      </c>
      <c r="DX42" s="284" t="s">
        <v>679</v>
      </c>
    </row>
    <row r="43" spans="1:128">
      <c r="A43" s="284">
        <v>66</v>
      </c>
      <c r="B43" s="284">
        <v>12027000</v>
      </c>
      <c r="C43" s="284">
        <v>0</v>
      </c>
      <c r="D43" s="284">
        <v>0</v>
      </c>
      <c r="E43" s="284">
        <v>0</v>
      </c>
      <c r="F43" s="284">
        <v>0</v>
      </c>
      <c r="G43" s="284">
        <v>0</v>
      </c>
      <c r="H43" s="284">
        <v>0</v>
      </c>
      <c r="I43" s="284">
        <v>0</v>
      </c>
      <c r="J43" s="284">
        <v>0</v>
      </c>
      <c r="K43" s="284">
        <v>8381450</v>
      </c>
      <c r="L43" s="284">
        <v>0</v>
      </c>
      <c r="M43" s="284">
        <v>8381450</v>
      </c>
      <c r="N43" s="284">
        <v>8381450</v>
      </c>
      <c r="O43" s="284">
        <v>8381450</v>
      </c>
      <c r="P43" s="284">
        <v>8381450</v>
      </c>
      <c r="Q43" s="284">
        <v>8381450</v>
      </c>
      <c r="R43" s="284">
        <v>8381000</v>
      </c>
      <c r="S43" s="284">
        <v>0</v>
      </c>
      <c r="T43" s="284">
        <v>0</v>
      </c>
      <c r="U43" s="284">
        <v>0</v>
      </c>
      <c r="V43" s="284">
        <v>0</v>
      </c>
      <c r="W43" s="284">
        <v>0</v>
      </c>
      <c r="X43" s="284">
        <v>0</v>
      </c>
      <c r="Y43" s="284">
        <v>0</v>
      </c>
      <c r="Z43" s="284">
        <v>0</v>
      </c>
      <c r="AA43" s="284">
        <v>0</v>
      </c>
      <c r="AB43" s="284">
        <v>0</v>
      </c>
      <c r="AC43" s="284">
        <v>0</v>
      </c>
      <c r="AD43" s="284">
        <v>0</v>
      </c>
      <c r="AE43" s="284">
        <v>0</v>
      </c>
      <c r="AF43" s="284">
        <v>0</v>
      </c>
      <c r="AG43" s="284">
        <v>0</v>
      </c>
      <c r="AH43" s="284">
        <v>0</v>
      </c>
      <c r="AI43" s="284">
        <v>0</v>
      </c>
      <c r="AJ43" s="284">
        <v>0</v>
      </c>
      <c r="AK43" s="284">
        <v>0</v>
      </c>
      <c r="AL43" s="284">
        <v>0</v>
      </c>
      <c r="AM43" s="284">
        <v>0</v>
      </c>
      <c r="AN43" s="284">
        <v>0</v>
      </c>
      <c r="AO43" s="284">
        <v>0</v>
      </c>
      <c r="AP43" s="284">
        <v>0</v>
      </c>
      <c r="AQ43" s="284">
        <v>0</v>
      </c>
      <c r="AR43" s="284">
        <v>0</v>
      </c>
      <c r="AS43" s="284">
        <v>0</v>
      </c>
      <c r="AT43" s="284">
        <v>0</v>
      </c>
      <c r="AU43" s="284">
        <v>0</v>
      </c>
      <c r="AV43" s="284">
        <v>0</v>
      </c>
      <c r="AW43" s="284">
        <v>0</v>
      </c>
      <c r="AX43" s="284">
        <v>0</v>
      </c>
      <c r="AY43" s="284">
        <v>0</v>
      </c>
      <c r="AZ43" s="284">
        <v>0</v>
      </c>
      <c r="BA43" s="284">
        <v>0</v>
      </c>
      <c r="BB43" s="284">
        <v>0</v>
      </c>
      <c r="BC43" s="284">
        <v>0</v>
      </c>
      <c r="BD43" s="284">
        <v>0</v>
      </c>
      <c r="BE43" s="284">
        <v>0</v>
      </c>
      <c r="BF43" s="284">
        <v>0</v>
      </c>
      <c r="BG43" s="284">
        <v>0</v>
      </c>
      <c r="BH43" s="284">
        <v>0</v>
      </c>
      <c r="BI43" s="284">
        <v>0</v>
      </c>
      <c r="BJ43" s="284">
        <v>0</v>
      </c>
      <c r="BK43" s="284">
        <v>0</v>
      </c>
      <c r="BL43" s="284">
        <v>0</v>
      </c>
      <c r="BM43" s="284">
        <v>0</v>
      </c>
      <c r="BN43" s="284">
        <v>0</v>
      </c>
      <c r="BO43" s="284">
        <v>0</v>
      </c>
      <c r="BP43" s="284">
        <v>0</v>
      </c>
      <c r="BQ43" s="284">
        <v>0</v>
      </c>
      <c r="BR43" s="284">
        <v>0</v>
      </c>
      <c r="BS43" s="284">
        <v>0</v>
      </c>
      <c r="BT43" s="284">
        <v>0</v>
      </c>
      <c r="BU43" s="284">
        <v>0</v>
      </c>
      <c r="BV43" s="284">
        <v>0</v>
      </c>
      <c r="BW43" s="284">
        <v>0</v>
      </c>
      <c r="BX43" s="284">
        <v>0</v>
      </c>
      <c r="BY43" s="284">
        <v>0</v>
      </c>
      <c r="BZ43" s="284">
        <v>0</v>
      </c>
      <c r="CA43" s="284">
        <v>0</v>
      </c>
      <c r="CB43" s="284">
        <v>0</v>
      </c>
      <c r="CC43" s="284">
        <v>0</v>
      </c>
      <c r="CD43" s="284">
        <v>0</v>
      </c>
      <c r="CE43" s="284">
        <v>0</v>
      </c>
      <c r="CF43" s="284">
        <v>0</v>
      </c>
      <c r="CG43" s="284">
        <v>0</v>
      </c>
      <c r="CH43" s="284">
        <v>0</v>
      </c>
      <c r="CI43" s="284">
        <v>0</v>
      </c>
      <c r="CJ43" s="284">
        <v>0</v>
      </c>
      <c r="CK43" s="284">
        <v>0</v>
      </c>
      <c r="CL43" s="284">
        <v>0</v>
      </c>
      <c r="CM43" s="284">
        <v>0</v>
      </c>
      <c r="CN43" s="284">
        <v>0</v>
      </c>
      <c r="CO43" s="284">
        <v>0</v>
      </c>
      <c r="CP43" s="284">
        <v>0</v>
      </c>
      <c r="CQ43" s="284">
        <v>0</v>
      </c>
      <c r="CR43" s="284">
        <v>0</v>
      </c>
      <c r="CS43" s="284">
        <v>0</v>
      </c>
      <c r="CT43" s="284">
        <v>0</v>
      </c>
      <c r="CU43" s="284">
        <v>0</v>
      </c>
      <c r="CV43" s="284">
        <v>0</v>
      </c>
      <c r="CW43" s="284">
        <v>0</v>
      </c>
      <c r="CX43" s="284">
        <v>0</v>
      </c>
      <c r="CY43" s="284">
        <v>0</v>
      </c>
      <c r="CZ43" s="284">
        <v>0</v>
      </c>
      <c r="DA43" s="284">
        <v>0</v>
      </c>
      <c r="DB43" s="284">
        <v>0</v>
      </c>
      <c r="DC43" s="284">
        <v>3646500</v>
      </c>
      <c r="DD43" s="284">
        <v>0</v>
      </c>
      <c r="DE43" s="284">
        <v>3646500</v>
      </c>
      <c r="DF43" s="284">
        <v>3646500</v>
      </c>
      <c r="DG43" s="284">
        <v>6600000</v>
      </c>
      <c r="DH43" s="284">
        <v>3646500</v>
      </c>
      <c r="DI43" s="284">
        <v>3646500</v>
      </c>
      <c r="DJ43" s="284">
        <v>3646000</v>
      </c>
      <c r="DK43" s="284">
        <v>0</v>
      </c>
      <c r="DL43" s="284">
        <v>0</v>
      </c>
      <c r="DM43" s="284">
        <v>0</v>
      </c>
      <c r="DN43" s="284">
        <v>0</v>
      </c>
      <c r="DO43" s="284">
        <v>0</v>
      </c>
      <c r="DP43" s="284">
        <v>0</v>
      </c>
      <c r="DQ43" s="284">
        <v>0</v>
      </c>
      <c r="DR43" s="284">
        <v>0</v>
      </c>
      <c r="DS43" s="284">
        <v>2022</v>
      </c>
      <c r="DT43" s="284">
        <v>7</v>
      </c>
      <c r="DU43" s="284">
        <v>27</v>
      </c>
      <c r="DV43" s="284" t="s">
        <v>682</v>
      </c>
      <c r="DW43" s="284" t="s">
        <v>723</v>
      </c>
      <c r="DX43" s="284" t="s">
        <v>679</v>
      </c>
    </row>
    <row r="44" spans="1:128">
      <c r="A44" s="284">
        <v>67</v>
      </c>
      <c r="B44" s="284">
        <v>41406000</v>
      </c>
      <c r="C44" s="284">
        <v>0</v>
      </c>
      <c r="D44" s="284">
        <v>0</v>
      </c>
      <c r="E44" s="284">
        <v>0</v>
      </c>
      <c r="F44" s="284">
        <v>0</v>
      </c>
      <c r="G44" s="284">
        <v>0</v>
      </c>
      <c r="H44" s="284">
        <v>0</v>
      </c>
      <c r="I44" s="284">
        <v>0</v>
      </c>
      <c r="J44" s="284">
        <v>0</v>
      </c>
      <c r="K44" s="284">
        <v>12823690</v>
      </c>
      <c r="L44" s="284">
        <v>0</v>
      </c>
      <c r="M44" s="284">
        <v>12823690</v>
      </c>
      <c r="N44" s="284">
        <v>12823690</v>
      </c>
      <c r="O44" s="284">
        <v>12823690</v>
      </c>
      <c r="P44" s="284">
        <v>12823690</v>
      </c>
      <c r="Q44" s="284">
        <v>12823690</v>
      </c>
      <c r="R44" s="284">
        <v>12823000</v>
      </c>
      <c r="S44" s="284">
        <v>15691881</v>
      </c>
      <c r="T44" s="284">
        <v>0</v>
      </c>
      <c r="U44" s="284">
        <v>15691881</v>
      </c>
      <c r="V44" s="284">
        <v>15691881</v>
      </c>
      <c r="W44" s="284">
        <v>21081600</v>
      </c>
      <c r="X44" s="284">
        <v>15691881</v>
      </c>
      <c r="Y44" s="284">
        <v>15691881</v>
      </c>
      <c r="Z44" s="284">
        <v>15691000</v>
      </c>
      <c r="AA44" s="284">
        <v>0</v>
      </c>
      <c r="AB44" s="284">
        <v>0</v>
      </c>
      <c r="AC44" s="284">
        <v>0</v>
      </c>
      <c r="AD44" s="284">
        <v>0</v>
      </c>
      <c r="AE44" s="284">
        <v>0</v>
      </c>
      <c r="AF44" s="284">
        <v>0</v>
      </c>
      <c r="AG44" s="284">
        <v>0</v>
      </c>
      <c r="AH44" s="284">
        <v>0</v>
      </c>
      <c r="AI44" s="284">
        <v>0</v>
      </c>
      <c r="AJ44" s="284">
        <v>0</v>
      </c>
      <c r="AK44" s="284">
        <v>0</v>
      </c>
      <c r="AL44" s="284">
        <v>0</v>
      </c>
      <c r="AM44" s="284">
        <v>0</v>
      </c>
      <c r="AN44" s="284">
        <v>0</v>
      </c>
      <c r="AO44" s="284">
        <v>0</v>
      </c>
      <c r="AP44" s="284">
        <v>0</v>
      </c>
      <c r="AQ44" s="284">
        <v>0</v>
      </c>
      <c r="AR44" s="284">
        <v>0</v>
      </c>
      <c r="AS44" s="284">
        <v>0</v>
      </c>
      <c r="AT44" s="284">
        <v>0</v>
      </c>
      <c r="AU44" s="284">
        <v>0</v>
      </c>
      <c r="AV44" s="284">
        <v>0</v>
      </c>
      <c r="AW44" s="284">
        <v>0</v>
      </c>
      <c r="AX44" s="284">
        <v>0</v>
      </c>
      <c r="AY44" s="284">
        <v>0</v>
      </c>
      <c r="AZ44" s="284">
        <v>0</v>
      </c>
      <c r="BA44" s="284">
        <v>0</v>
      </c>
      <c r="BB44" s="284">
        <v>0</v>
      </c>
      <c r="BC44" s="284">
        <v>0</v>
      </c>
      <c r="BD44" s="284">
        <v>0</v>
      </c>
      <c r="BE44" s="284">
        <v>0</v>
      </c>
      <c r="BF44" s="284">
        <v>0</v>
      </c>
      <c r="BG44" s="284">
        <v>0</v>
      </c>
      <c r="BH44" s="284">
        <v>0</v>
      </c>
      <c r="BI44" s="284">
        <v>0</v>
      </c>
      <c r="BJ44" s="284">
        <v>0</v>
      </c>
      <c r="BK44" s="284">
        <v>0</v>
      </c>
      <c r="BL44" s="284">
        <v>0</v>
      </c>
      <c r="BM44" s="284">
        <v>0</v>
      </c>
      <c r="BN44" s="284">
        <v>0</v>
      </c>
      <c r="BO44" s="284">
        <v>10252000</v>
      </c>
      <c r="BP44" s="284">
        <v>0</v>
      </c>
      <c r="BQ44" s="284">
        <v>10252000</v>
      </c>
      <c r="BR44" s="284">
        <v>10252000</v>
      </c>
      <c r="BS44" s="284">
        <v>11000000</v>
      </c>
      <c r="BT44" s="284">
        <v>10252000</v>
      </c>
      <c r="BU44" s="284">
        <v>10252000</v>
      </c>
      <c r="BV44" s="284">
        <v>10252000</v>
      </c>
      <c r="BW44" s="284">
        <v>0</v>
      </c>
      <c r="BX44" s="284">
        <v>0</v>
      </c>
      <c r="BY44" s="284">
        <v>0</v>
      </c>
      <c r="BZ44" s="284">
        <v>0</v>
      </c>
      <c r="CA44" s="284">
        <v>0</v>
      </c>
      <c r="CB44" s="284">
        <v>0</v>
      </c>
      <c r="CC44" s="284">
        <v>0</v>
      </c>
      <c r="CD44" s="284">
        <v>0</v>
      </c>
      <c r="CE44" s="284">
        <v>2640000</v>
      </c>
      <c r="CF44" s="284">
        <v>0</v>
      </c>
      <c r="CG44" s="284">
        <v>2640000</v>
      </c>
      <c r="CH44" s="284">
        <v>2640000</v>
      </c>
      <c r="CI44" s="284">
        <v>11000000</v>
      </c>
      <c r="CJ44" s="284">
        <v>2640000</v>
      </c>
      <c r="CK44" s="284">
        <v>2640000</v>
      </c>
      <c r="CL44" s="284">
        <v>2640000</v>
      </c>
      <c r="CM44" s="284">
        <v>0</v>
      </c>
      <c r="CN44" s="284">
        <v>0</v>
      </c>
      <c r="CO44" s="284">
        <v>0</v>
      </c>
      <c r="CP44" s="284">
        <v>0</v>
      </c>
      <c r="CQ44" s="284">
        <v>0</v>
      </c>
      <c r="CR44" s="284">
        <v>0</v>
      </c>
      <c r="CS44" s="284">
        <v>0</v>
      </c>
      <c r="CT44" s="284">
        <v>0</v>
      </c>
      <c r="CU44" s="284">
        <v>0</v>
      </c>
      <c r="CV44" s="284">
        <v>0</v>
      </c>
      <c r="CW44" s="284">
        <v>0</v>
      </c>
      <c r="CX44" s="284">
        <v>0</v>
      </c>
      <c r="CY44" s="284">
        <v>0</v>
      </c>
      <c r="CZ44" s="284">
        <v>0</v>
      </c>
      <c r="DA44" s="284">
        <v>0</v>
      </c>
      <c r="DB44" s="284">
        <v>0</v>
      </c>
      <c r="DC44" s="284">
        <v>0</v>
      </c>
      <c r="DD44" s="284">
        <v>0</v>
      </c>
      <c r="DE44" s="284">
        <v>0</v>
      </c>
      <c r="DF44" s="284">
        <v>0</v>
      </c>
      <c r="DG44" s="284">
        <v>0</v>
      </c>
      <c r="DH44" s="284">
        <v>0</v>
      </c>
      <c r="DI44" s="284">
        <v>0</v>
      </c>
      <c r="DJ44" s="284">
        <v>0</v>
      </c>
      <c r="DK44" s="284">
        <v>0</v>
      </c>
      <c r="DL44" s="284">
        <v>0</v>
      </c>
      <c r="DM44" s="284">
        <v>0</v>
      </c>
      <c r="DN44" s="284">
        <v>0</v>
      </c>
      <c r="DO44" s="284">
        <v>0</v>
      </c>
      <c r="DP44" s="284">
        <v>0</v>
      </c>
      <c r="DQ44" s="284">
        <v>0</v>
      </c>
      <c r="DR44" s="284">
        <v>0</v>
      </c>
      <c r="DS44" s="284">
        <v>2022</v>
      </c>
      <c r="DT44" s="284">
        <v>7</v>
      </c>
      <c r="DU44" s="284">
        <v>27</v>
      </c>
      <c r="DV44" s="284" t="s">
        <v>682</v>
      </c>
      <c r="DW44" s="284" t="s">
        <v>712</v>
      </c>
      <c r="DX44" s="284" t="s">
        <v>699</v>
      </c>
    </row>
    <row r="45" spans="1:128">
      <c r="A45" s="284">
        <v>68</v>
      </c>
      <c r="B45" s="284">
        <v>45152000</v>
      </c>
      <c r="C45" s="284">
        <v>0</v>
      </c>
      <c r="D45" s="284">
        <v>0</v>
      </c>
      <c r="E45" s="284">
        <v>0</v>
      </c>
      <c r="F45" s="284">
        <v>0</v>
      </c>
      <c r="G45" s="284">
        <v>0</v>
      </c>
      <c r="H45" s="284">
        <v>0</v>
      </c>
      <c r="I45" s="284">
        <v>0</v>
      </c>
      <c r="J45" s="284">
        <v>0</v>
      </c>
      <c r="K45" s="284">
        <v>0</v>
      </c>
      <c r="L45" s="284">
        <v>0</v>
      </c>
      <c r="M45" s="284">
        <v>0</v>
      </c>
      <c r="N45" s="284">
        <v>0</v>
      </c>
      <c r="O45" s="284">
        <v>0</v>
      </c>
      <c r="P45" s="284">
        <v>0</v>
      </c>
      <c r="Q45" s="284">
        <v>0</v>
      </c>
      <c r="R45" s="284">
        <v>0</v>
      </c>
      <c r="S45" s="284">
        <v>16994793</v>
      </c>
      <c r="T45" s="284">
        <v>0</v>
      </c>
      <c r="U45" s="284">
        <v>16994793</v>
      </c>
      <c r="V45" s="284">
        <v>16994793</v>
      </c>
      <c r="W45" s="284">
        <v>36234000</v>
      </c>
      <c r="X45" s="284">
        <v>16994793</v>
      </c>
      <c r="Y45" s="284">
        <v>16994793</v>
      </c>
      <c r="Z45" s="284">
        <v>16994000</v>
      </c>
      <c r="AA45" s="284">
        <v>1595000</v>
      </c>
      <c r="AB45" s="284">
        <v>0</v>
      </c>
      <c r="AC45" s="284">
        <v>1595000</v>
      </c>
      <c r="AD45" s="284">
        <v>1595000</v>
      </c>
      <c r="AE45" s="284">
        <v>8640000</v>
      </c>
      <c r="AF45" s="284">
        <v>1595000</v>
      </c>
      <c r="AG45" s="284">
        <v>1595000</v>
      </c>
      <c r="AH45" s="284">
        <v>1595000</v>
      </c>
      <c r="AI45" s="284">
        <v>0</v>
      </c>
      <c r="AJ45" s="284">
        <v>0</v>
      </c>
      <c r="AK45" s="284">
        <v>0</v>
      </c>
      <c r="AL45" s="284">
        <v>0</v>
      </c>
      <c r="AM45" s="284">
        <v>0</v>
      </c>
      <c r="AN45" s="284">
        <v>0</v>
      </c>
      <c r="AO45" s="284">
        <v>0</v>
      </c>
      <c r="AP45" s="284">
        <v>0</v>
      </c>
      <c r="AQ45" s="284">
        <v>0</v>
      </c>
      <c r="AR45" s="284">
        <v>0</v>
      </c>
      <c r="AS45" s="284">
        <v>0</v>
      </c>
      <c r="AT45" s="284">
        <v>0</v>
      </c>
      <c r="AU45" s="284">
        <v>0</v>
      </c>
      <c r="AV45" s="284">
        <v>0</v>
      </c>
      <c r="AW45" s="284">
        <v>0</v>
      </c>
      <c r="AX45" s="284">
        <v>0</v>
      </c>
      <c r="AY45" s="284">
        <v>0</v>
      </c>
      <c r="AZ45" s="284">
        <v>0</v>
      </c>
      <c r="BA45" s="284">
        <v>0</v>
      </c>
      <c r="BB45" s="284">
        <v>0</v>
      </c>
      <c r="BC45" s="284">
        <v>0</v>
      </c>
      <c r="BD45" s="284">
        <v>0</v>
      </c>
      <c r="BE45" s="284">
        <v>0</v>
      </c>
      <c r="BF45" s="284">
        <v>0</v>
      </c>
      <c r="BG45" s="284">
        <v>0</v>
      </c>
      <c r="BH45" s="284">
        <v>0</v>
      </c>
      <c r="BI45" s="284">
        <v>0</v>
      </c>
      <c r="BJ45" s="284">
        <v>0</v>
      </c>
      <c r="BK45" s="284">
        <v>0</v>
      </c>
      <c r="BL45" s="284">
        <v>0</v>
      </c>
      <c r="BM45" s="284">
        <v>0</v>
      </c>
      <c r="BN45" s="284">
        <v>0</v>
      </c>
      <c r="BO45" s="284">
        <v>0</v>
      </c>
      <c r="BP45" s="284">
        <v>0</v>
      </c>
      <c r="BQ45" s="284">
        <v>0</v>
      </c>
      <c r="BR45" s="284">
        <v>0</v>
      </c>
      <c r="BS45" s="284">
        <v>0</v>
      </c>
      <c r="BT45" s="284">
        <v>0</v>
      </c>
      <c r="BU45" s="284">
        <v>0</v>
      </c>
      <c r="BV45" s="284">
        <v>0</v>
      </c>
      <c r="BW45" s="284">
        <v>0</v>
      </c>
      <c r="BX45" s="284">
        <v>0</v>
      </c>
      <c r="BY45" s="284">
        <v>0</v>
      </c>
      <c r="BZ45" s="284">
        <v>0</v>
      </c>
      <c r="CA45" s="284">
        <v>0</v>
      </c>
      <c r="CB45" s="284">
        <v>0</v>
      </c>
      <c r="CC45" s="284">
        <v>0</v>
      </c>
      <c r="CD45" s="284">
        <v>0</v>
      </c>
      <c r="CE45" s="284">
        <v>0</v>
      </c>
      <c r="CF45" s="284">
        <v>0</v>
      </c>
      <c r="CG45" s="284">
        <v>0</v>
      </c>
      <c r="CH45" s="284">
        <v>0</v>
      </c>
      <c r="CI45" s="284">
        <v>0</v>
      </c>
      <c r="CJ45" s="284">
        <v>0</v>
      </c>
      <c r="CK45" s="284">
        <v>0</v>
      </c>
      <c r="CL45" s="284">
        <v>0</v>
      </c>
      <c r="CM45" s="284">
        <v>21945000</v>
      </c>
      <c r="CN45" s="284">
        <v>0</v>
      </c>
      <c r="CO45" s="284">
        <v>21945000</v>
      </c>
      <c r="CP45" s="284">
        <v>21945000</v>
      </c>
      <c r="CQ45" s="284">
        <v>66000000</v>
      </c>
      <c r="CR45" s="284">
        <v>21945000</v>
      </c>
      <c r="CS45" s="284">
        <v>21945000</v>
      </c>
      <c r="CT45" s="284">
        <v>21945000</v>
      </c>
      <c r="CU45" s="284">
        <v>4618900</v>
      </c>
      <c r="CV45" s="284">
        <v>0</v>
      </c>
      <c r="CW45" s="284">
        <v>4618900</v>
      </c>
      <c r="CX45" s="284">
        <v>4618900</v>
      </c>
      <c r="CY45" s="284">
        <v>13200000</v>
      </c>
      <c r="CZ45" s="284">
        <v>4618900</v>
      </c>
      <c r="DA45" s="284">
        <v>4618900</v>
      </c>
      <c r="DB45" s="284">
        <v>4618000</v>
      </c>
      <c r="DC45" s="284">
        <v>0</v>
      </c>
      <c r="DD45" s="284">
        <v>0</v>
      </c>
      <c r="DE45" s="284">
        <v>0</v>
      </c>
      <c r="DF45" s="284">
        <v>0</v>
      </c>
      <c r="DG45" s="284">
        <v>0</v>
      </c>
      <c r="DH45" s="284">
        <v>0</v>
      </c>
      <c r="DI45" s="284">
        <v>0</v>
      </c>
      <c r="DJ45" s="284">
        <v>0</v>
      </c>
      <c r="DK45" s="284">
        <v>0</v>
      </c>
      <c r="DL45" s="284">
        <v>0</v>
      </c>
      <c r="DM45" s="284">
        <v>0</v>
      </c>
      <c r="DN45" s="284">
        <v>0</v>
      </c>
      <c r="DO45" s="284">
        <v>0</v>
      </c>
      <c r="DP45" s="284">
        <v>0</v>
      </c>
      <c r="DQ45" s="284">
        <v>0</v>
      </c>
      <c r="DR45" s="284">
        <v>0</v>
      </c>
      <c r="DS45" s="284">
        <v>2022</v>
      </c>
      <c r="DT45" s="284">
        <v>7</v>
      </c>
      <c r="DU45" s="284">
        <v>27</v>
      </c>
      <c r="DV45" s="284" t="s">
        <v>684</v>
      </c>
      <c r="DW45" s="284" t="s">
        <v>700</v>
      </c>
      <c r="DX45" s="284" t="s">
        <v>679</v>
      </c>
    </row>
    <row r="46" spans="1:128">
      <c r="A46" s="284">
        <v>69</v>
      </c>
      <c r="B46" s="284">
        <v>13132000</v>
      </c>
      <c r="C46" s="284">
        <v>0</v>
      </c>
      <c r="D46" s="284">
        <v>0</v>
      </c>
      <c r="E46" s="284">
        <v>0</v>
      </c>
      <c r="F46" s="284">
        <v>0</v>
      </c>
      <c r="G46" s="284">
        <v>0</v>
      </c>
      <c r="H46" s="284">
        <v>0</v>
      </c>
      <c r="I46" s="284">
        <v>0</v>
      </c>
      <c r="J46" s="284">
        <v>0</v>
      </c>
      <c r="K46" s="284">
        <v>2030000</v>
      </c>
      <c r="L46" s="284">
        <v>0</v>
      </c>
      <c r="M46" s="284">
        <v>2030000</v>
      </c>
      <c r="N46" s="284">
        <v>2030000</v>
      </c>
      <c r="O46" s="284">
        <v>2030000</v>
      </c>
      <c r="P46" s="284">
        <v>2030000</v>
      </c>
      <c r="Q46" s="284">
        <v>2030000</v>
      </c>
      <c r="R46" s="284">
        <v>2030000</v>
      </c>
      <c r="S46" s="284">
        <v>7090413</v>
      </c>
      <c r="T46" s="284">
        <v>0</v>
      </c>
      <c r="U46" s="284">
        <v>7090413</v>
      </c>
      <c r="V46" s="284">
        <v>7090413</v>
      </c>
      <c r="W46" s="284">
        <v>39528000</v>
      </c>
      <c r="X46" s="284">
        <v>7090413</v>
      </c>
      <c r="Y46" s="284">
        <v>7090413</v>
      </c>
      <c r="Z46" s="284">
        <v>7090000</v>
      </c>
      <c r="AA46" s="284">
        <v>0</v>
      </c>
      <c r="AB46" s="284">
        <v>0</v>
      </c>
      <c r="AC46" s="284">
        <v>0</v>
      </c>
      <c r="AD46" s="284">
        <v>0</v>
      </c>
      <c r="AE46" s="284">
        <v>0</v>
      </c>
      <c r="AF46" s="284">
        <v>0</v>
      </c>
      <c r="AG46" s="284">
        <v>0</v>
      </c>
      <c r="AH46" s="284">
        <v>0</v>
      </c>
      <c r="AI46" s="284">
        <v>0</v>
      </c>
      <c r="AJ46" s="284">
        <v>0</v>
      </c>
      <c r="AK46" s="284">
        <v>0</v>
      </c>
      <c r="AL46" s="284">
        <v>0</v>
      </c>
      <c r="AM46" s="284">
        <v>0</v>
      </c>
      <c r="AN46" s="284">
        <v>0</v>
      </c>
      <c r="AO46" s="284">
        <v>0</v>
      </c>
      <c r="AP46" s="284">
        <v>0</v>
      </c>
      <c r="AQ46" s="284">
        <v>0</v>
      </c>
      <c r="AR46" s="284">
        <v>0</v>
      </c>
      <c r="AS46" s="284">
        <v>0</v>
      </c>
      <c r="AT46" s="284">
        <v>0</v>
      </c>
      <c r="AU46" s="284">
        <v>0</v>
      </c>
      <c r="AV46" s="284">
        <v>0</v>
      </c>
      <c r="AW46" s="284">
        <v>0</v>
      </c>
      <c r="AX46" s="284">
        <v>0</v>
      </c>
      <c r="AY46" s="284">
        <v>0</v>
      </c>
      <c r="AZ46" s="284">
        <v>0</v>
      </c>
      <c r="BA46" s="284">
        <v>0</v>
      </c>
      <c r="BB46" s="284">
        <v>0</v>
      </c>
      <c r="BC46" s="284">
        <v>0</v>
      </c>
      <c r="BD46" s="284">
        <v>0</v>
      </c>
      <c r="BE46" s="284">
        <v>0</v>
      </c>
      <c r="BF46" s="284">
        <v>0</v>
      </c>
      <c r="BG46" s="284">
        <v>0</v>
      </c>
      <c r="BH46" s="284">
        <v>0</v>
      </c>
      <c r="BI46" s="284">
        <v>0</v>
      </c>
      <c r="BJ46" s="284">
        <v>0</v>
      </c>
      <c r="BK46" s="284">
        <v>0</v>
      </c>
      <c r="BL46" s="284">
        <v>0</v>
      </c>
      <c r="BM46" s="284">
        <v>0</v>
      </c>
      <c r="BN46" s="284">
        <v>0</v>
      </c>
      <c r="BO46" s="284">
        <v>0</v>
      </c>
      <c r="BP46" s="284">
        <v>0</v>
      </c>
      <c r="BQ46" s="284">
        <v>0</v>
      </c>
      <c r="BR46" s="284">
        <v>0</v>
      </c>
      <c r="BS46" s="284">
        <v>0</v>
      </c>
      <c r="BT46" s="284">
        <v>0</v>
      </c>
      <c r="BU46" s="284">
        <v>0</v>
      </c>
      <c r="BV46" s="284">
        <v>0</v>
      </c>
      <c r="BW46" s="284">
        <v>0</v>
      </c>
      <c r="BX46" s="284">
        <v>0</v>
      </c>
      <c r="BY46" s="284">
        <v>0</v>
      </c>
      <c r="BZ46" s="284">
        <v>0</v>
      </c>
      <c r="CA46" s="284">
        <v>0</v>
      </c>
      <c r="CB46" s="284">
        <v>0</v>
      </c>
      <c r="CC46" s="284">
        <v>0</v>
      </c>
      <c r="CD46" s="284">
        <v>0</v>
      </c>
      <c r="CE46" s="284">
        <v>4012000</v>
      </c>
      <c r="CF46" s="284">
        <v>0</v>
      </c>
      <c r="CG46" s="284">
        <v>4012000</v>
      </c>
      <c r="CH46" s="284">
        <v>4012000</v>
      </c>
      <c r="CI46" s="284">
        <v>5500000</v>
      </c>
      <c r="CJ46" s="284">
        <v>4012000</v>
      </c>
      <c r="CK46" s="284">
        <v>4012000</v>
      </c>
      <c r="CL46" s="284">
        <v>4012000</v>
      </c>
      <c r="CM46" s="284">
        <v>0</v>
      </c>
      <c r="CN46" s="284">
        <v>0</v>
      </c>
      <c r="CO46" s="284">
        <v>0</v>
      </c>
      <c r="CP46" s="284">
        <v>0</v>
      </c>
      <c r="CQ46" s="284">
        <v>0</v>
      </c>
      <c r="CR46" s="284">
        <v>0</v>
      </c>
      <c r="CS46" s="284">
        <v>0</v>
      </c>
      <c r="CT46" s="284">
        <v>0</v>
      </c>
      <c r="CU46" s="284">
        <v>0</v>
      </c>
      <c r="CV46" s="284">
        <v>0</v>
      </c>
      <c r="CW46" s="284">
        <v>0</v>
      </c>
      <c r="CX46" s="284">
        <v>0</v>
      </c>
      <c r="CY46" s="284">
        <v>0</v>
      </c>
      <c r="CZ46" s="284">
        <v>0</v>
      </c>
      <c r="DA46" s="284">
        <v>0</v>
      </c>
      <c r="DB46" s="284">
        <v>0</v>
      </c>
      <c r="DC46" s="284">
        <v>0</v>
      </c>
      <c r="DD46" s="284">
        <v>0</v>
      </c>
      <c r="DE46" s="284">
        <v>0</v>
      </c>
      <c r="DF46" s="284">
        <v>0</v>
      </c>
      <c r="DG46" s="284">
        <v>0</v>
      </c>
      <c r="DH46" s="284">
        <v>0</v>
      </c>
      <c r="DI46" s="284">
        <v>0</v>
      </c>
      <c r="DJ46" s="284">
        <v>0</v>
      </c>
      <c r="DK46" s="284">
        <v>0</v>
      </c>
      <c r="DL46" s="284">
        <v>0</v>
      </c>
      <c r="DM46" s="284">
        <v>0</v>
      </c>
      <c r="DN46" s="284">
        <v>0</v>
      </c>
      <c r="DO46" s="284">
        <v>0</v>
      </c>
      <c r="DP46" s="284">
        <v>0</v>
      </c>
      <c r="DQ46" s="284">
        <v>0</v>
      </c>
      <c r="DR46" s="284">
        <v>0</v>
      </c>
      <c r="DS46" s="284">
        <v>2022</v>
      </c>
      <c r="DT46" s="284">
        <v>7</v>
      </c>
      <c r="DU46" s="284">
        <v>27</v>
      </c>
      <c r="DV46" s="284" t="s">
        <v>684</v>
      </c>
      <c r="DW46" s="284" t="s">
        <v>700</v>
      </c>
      <c r="DX46" s="284" t="s">
        <v>679</v>
      </c>
    </row>
    <row r="47" spans="1:128">
      <c r="A47" s="284">
        <v>70</v>
      </c>
      <c r="B47" s="284">
        <v>107710000</v>
      </c>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4"/>
      <c r="BR47" s="284"/>
      <c r="BS47" s="284"/>
      <c r="BT47" s="284"/>
      <c r="BU47" s="284"/>
      <c r="BV47" s="284"/>
      <c r="BW47" s="284"/>
      <c r="BX47" s="284"/>
      <c r="BY47" s="284"/>
      <c r="BZ47" s="284"/>
      <c r="CA47" s="284"/>
      <c r="CB47" s="284"/>
      <c r="CC47" s="284"/>
      <c r="CD47" s="284"/>
      <c r="CE47" s="284"/>
      <c r="CF47" s="284"/>
      <c r="CG47" s="284"/>
      <c r="CH47" s="284"/>
      <c r="CI47" s="284"/>
      <c r="CJ47" s="284"/>
      <c r="CK47" s="284"/>
      <c r="CL47" s="284"/>
      <c r="CM47" s="284"/>
      <c r="CN47" s="284"/>
      <c r="CO47" s="284"/>
      <c r="CP47" s="284"/>
      <c r="CQ47" s="284"/>
      <c r="CR47" s="284"/>
      <c r="CS47" s="284"/>
      <c r="CT47" s="284"/>
      <c r="CU47" s="284"/>
      <c r="CV47" s="284"/>
      <c r="CW47" s="284"/>
      <c r="CX47" s="284"/>
      <c r="CY47" s="284"/>
      <c r="CZ47" s="284"/>
      <c r="DA47" s="284"/>
      <c r="DB47" s="284"/>
      <c r="DC47" s="284"/>
      <c r="DD47" s="284"/>
      <c r="DE47" s="284"/>
      <c r="DF47" s="284"/>
      <c r="DG47" s="284"/>
      <c r="DH47" s="284"/>
      <c r="DI47" s="284"/>
      <c r="DJ47" s="284"/>
      <c r="DK47" s="284"/>
      <c r="DL47" s="284"/>
      <c r="DM47" s="284"/>
      <c r="DN47" s="284"/>
      <c r="DO47" s="284"/>
      <c r="DP47" s="284"/>
      <c r="DQ47" s="284"/>
      <c r="DR47" s="284"/>
      <c r="DS47" s="284">
        <v>2022</v>
      </c>
      <c r="DT47" s="284">
        <v>9</v>
      </c>
      <c r="DU47" s="284">
        <v>22</v>
      </c>
      <c r="DV47" s="284" t="s">
        <v>682</v>
      </c>
      <c r="DW47" s="284" t="s">
        <v>715</v>
      </c>
      <c r="DX47" s="284" t="s">
        <v>679</v>
      </c>
    </row>
    <row r="48" spans="1:128">
      <c r="A48" s="284">
        <v>71</v>
      </c>
      <c r="B48" s="284">
        <v>1723000</v>
      </c>
      <c r="C48" s="284">
        <v>0</v>
      </c>
      <c r="D48" s="284">
        <v>0</v>
      </c>
      <c r="E48" s="284">
        <v>0</v>
      </c>
      <c r="F48" s="284">
        <v>0</v>
      </c>
      <c r="G48" s="284">
        <v>0</v>
      </c>
      <c r="H48" s="284">
        <v>0</v>
      </c>
      <c r="I48" s="284">
        <v>0</v>
      </c>
      <c r="J48" s="284">
        <v>0</v>
      </c>
      <c r="K48" s="284">
        <v>0</v>
      </c>
      <c r="L48" s="284">
        <v>0</v>
      </c>
      <c r="M48" s="284">
        <v>0</v>
      </c>
      <c r="N48" s="284">
        <v>0</v>
      </c>
      <c r="O48" s="284">
        <v>0</v>
      </c>
      <c r="P48" s="284">
        <v>0</v>
      </c>
      <c r="Q48" s="284">
        <v>0</v>
      </c>
      <c r="R48" s="284">
        <v>0</v>
      </c>
      <c r="S48" s="284">
        <v>1723700</v>
      </c>
      <c r="T48" s="284">
        <v>0</v>
      </c>
      <c r="U48" s="284">
        <v>1723700</v>
      </c>
      <c r="V48" s="284">
        <v>1723700</v>
      </c>
      <c r="W48" s="284">
        <v>2635200</v>
      </c>
      <c r="X48" s="284">
        <v>1723700</v>
      </c>
      <c r="Y48" s="284">
        <v>1723700</v>
      </c>
      <c r="Z48" s="284">
        <v>1723000</v>
      </c>
      <c r="AA48" s="284">
        <v>0</v>
      </c>
      <c r="AB48" s="284">
        <v>0</v>
      </c>
      <c r="AC48" s="284">
        <v>0</v>
      </c>
      <c r="AD48" s="284">
        <v>0</v>
      </c>
      <c r="AE48" s="284">
        <v>0</v>
      </c>
      <c r="AF48" s="284">
        <v>0</v>
      </c>
      <c r="AG48" s="284">
        <v>0</v>
      </c>
      <c r="AH48" s="284">
        <v>0</v>
      </c>
      <c r="AI48" s="284">
        <v>0</v>
      </c>
      <c r="AJ48" s="284">
        <v>0</v>
      </c>
      <c r="AK48" s="284">
        <v>0</v>
      </c>
      <c r="AL48" s="284">
        <v>0</v>
      </c>
      <c r="AM48" s="284">
        <v>0</v>
      </c>
      <c r="AN48" s="284">
        <v>0</v>
      </c>
      <c r="AO48" s="284">
        <v>0</v>
      </c>
      <c r="AP48" s="284">
        <v>0</v>
      </c>
      <c r="AQ48" s="284">
        <v>0</v>
      </c>
      <c r="AR48" s="284">
        <v>0</v>
      </c>
      <c r="AS48" s="284">
        <v>0</v>
      </c>
      <c r="AT48" s="284">
        <v>0</v>
      </c>
      <c r="AU48" s="284">
        <v>0</v>
      </c>
      <c r="AV48" s="284">
        <v>0</v>
      </c>
      <c r="AW48" s="284">
        <v>0</v>
      </c>
      <c r="AX48" s="284">
        <v>0</v>
      </c>
      <c r="AY48" s="284">
        <v>0</v>
      </c>
      <c r="AZ48" s="284">
        <v>0</v>
      </c>
      <c r="BA48" s="284">
        <v>0</v>
      </c>
      <c r="BB48" s="284">
        <v>0</v>
      </c>
      <c r="BC48" s="284">
        <v>0</v>
      </c>
      <c r="BD48" s="284">
        <v>0</v>
      </c>
      <c r="BE48" s="284">
        <v>0</v>
      </c>
      <c r="BF48" s="284">
        <v>0</v>
      </c>
      <c r="BG48" s="284">
        <v>0</v>
      </c>
      <c r="BH48" s="284">
        <v>0</v>
      </c>
      <c r="BI48" s="284">
        <v>0</v>
      </c>
      <c r="BJ48" s="284">
        <v>0</v>
      </c>
      <c r="BK48" s="284">
        <v>0</v>
      </c>
      <c r="BL48" s="284">
        <v>0</v>
      </c>
      <c r="BM48" s="284">
        <v>0</v>
      </c>
      <c r="BN48" s="284">
        <v>0</v>
      </c>
      <c r="BO48" s="284">
        <v>0</v>
      </c>
      <c r="BP48" s="284">
        <v>0</v>
      </c>
      <c r="BQ48" s="284">
        <v>0</v>
      </c>
      <c r="BR48" s="284">
        <v>0</v>
      </c>
      <c r="BS48" s="284">
        <v>0</v>
      </c>
      <c r="BT48" s="284">
        <v>0</v>
      </c>
      <c r="BU48" s="284">
        <v>0</v>
      </c>
      <c r="BV48" s="284">
        <v>0</v>
      </c>
      <c r="BW48" s="284">
        <v>0</v>
      </c>
      <c r="BX48" s="284">
        <v>0</v>
      </c>
      <c r="BY48" s="284">
        <v>0</v>
      </c>
      <c r="BZ48" s="284">
        <v>0</v>
      </c>
      <c r="CA48" s="284">
        <v>0</v>
      </c>
      <c r="CB48" s="284">
        <v>0</v>
      </c>
      <c r="CC48" s="284">
        <v>0</v>
      </c>
      <c r="CD48" s="284">
        <v>0</v>
      </c>
      <c r="CE48" s="284">
        <v>0</v>
      </c>
      <c r="CF48" s="284">
        <v>0</v>
      </c>
      <c r="CG48" s="284">
        <v>0</v>
      </c>
      <c r="CH48" s="284">
        <v>0</v>
      </c>
      <c r="CI48" s="284">
        <v>0</v>
      </c>
      <c r="CJ48" s="284">
        <v>0</v>
      </c>
      <c r="CK48" s="284">
        <v>0</v>
      </c>
      <c r="CL48" s="284">
        <v>0</v>
      </c>
      <c r="CM48" s="284">
        <v>0</v>
      </c>
      <c r="CN48" s="284">
        <v>0</v>
      </c>
      <c r="CO48" s="284">
        <v>0</v>
      </c>
      <c r="CP48" s="284">
        <v>0</v>
      </c>
      <c r="CQ48" s="284">
        <v>0</v>
      </c>
      <c r="CR48" s="284">
        <v>0</v>
      </c>
      <c r="CS48" s="284">
        <v>0</v>
      </c>
      <c r="CT48" s="284">
        <v>0</v>
      </c>
      <c r="CU48" s="284">
        <v>0</v>
      </c>
      <c r="CV48" s="284">
        <v>0</v>
      </c>
      <c r="CW48" s="284">
        <v>0</v>
      </c>
      <c r="CX48" s="284">
        <v>0</v>
      </c>
      <c r="CY48" s="284">
        <v>0</v>
      </c>
      <c r="CZ48" s="284">
        <v>0</v>
      </c>
      <c r="DA48" s="284">
        <v>0</v>
      </c>
      <c r="DB48" s="284">
        <v>0</v>
      </c>
      <c r="DC48" s="284">
        <v>0</v>
      </c>
      <c r="DD48" s="284">
        <v>0</v>
      </c>
      <c r="DE48" s="284">
        <v>0</v>
      </c>
      <c r="DF48" s="284">
        <v>0</v>
      </c>
      <c r="DG48" s="284">
        <v>0</v>
      </c>
      <c r="DH48" s="284">
        <v>0</v>
      </c>
      <c r="DI48" s="284">
        <v>0</v>
      </c>
      <c r="DJ48" s="284">
        <v>0</v>
      </c>
      <c r="DK48" s="284">
        <v>0</v>
      </c>
      <c r="DL48" s="284">
        <v>0</v>
      </c>
      <c r="DM48" s="284">
        <v>0</v>
      </c>
      <c r="DN48" s="284">
        <v>0</v>
      </c>
      <c r="DO48" s="284">
        <v>0</v>
      </c>
      <c r="DP48" s="284">
        <v>0</v>
      </c>
      <c r="DQ48" s="284">
        <v>0</v>
      </c>
      <c r="DR48" s="284">
        <v>0</v>
      </c>
      <c r="DS48" s="284">
        <v>2022</v>
      </c>
      <c r="DT48" s="284">
        <v>7</v>
      </c>
      <c r="DU48" s="284">
        <v>27</v>
      </c>
      <c r="DV48" s="284" t="s">
        <v>677</v>
      </c>
      <c r="DW48" s="284" t="s">
        <v>678</v>
      </c>
      <c r="DX48" s="284" t="s">
        <v>679</v>
      </c>
    </row>
    <row r="49" spans="1:128">
      <c r="A49" s="284">
        <v>73</v>
      </c>
      <c r="B49" s="284">
        <v>12612000</v>
      </c>
      <c r="C49" s="284">
        <v>0</v>
      </c>
      <c r="D49" s="284">
        <v>0</v>
      </c>
      <c r="E49" s="284">
        <v>0</v>
      </c>
      <c r="F49" s="284">
        <v>0</v>
      </c>
      <c r="G49" s="284">
        <v>0</v>
      </c>
      <c r="H49" s="284">
        <v>0</v>
      </c>
      <c r="I49" s="284">
        <v>0</v>
      </c>
      <c r="J49" s="284">
        <v>0</v>
      </c>
      <c r="K49" s="284">
        <v>0</v>
      </c>
      <c r="L49" s="284">
        <v>0</v>
      </c>
      <c r="M49" s="284">
        <v>0</v>
      </c>
      <c r="N49" s="284">
        <v>0</v>
      </c>
      <c r="O49" s="284">
        <v>0</v>
      </c>
      <c r="P49" s="284">
        <v>0</v>
      </c>
      <c r="Q49" s="284">
        <v>0</v>
      </c>
      <c r="R49" s="284">
        <v>0</v>
      </c>
      <c r="S49" s="284">
        <v>1612462</v>
      </c>
      <c r="T49" s="284">
        <v>0</v>
      </c>
      <c r="U49" s="284">
        <v>1612462</v>
      </c>
      <c r="V49" s="284">
        <v>1612462</v>
      </c>
      <c r="W49" s="284">
        <v>1976400</v>
      </c>
      <c r="X49" s="284">
        <v>1612462</v>
      </c>
      <c r="Y49" s="284">
        <v>1612462</v>
      </c>
      <c r="Z49" s="284">
        <v>1612000</v>
      </c>
      <c r="AA49" s="284">
        <v>0</v>
      </c>
      <c r="AB49" s="284">
        <v>0</v>
      </c>
      <c r="AC49" s="284">
        <v>0</v>
      </c>
      <c r="AD49" s="284">
        <v>0</v>
      </c>
      <c r="AE49" s="284">
        <v>0</v>
      </c>
      <c r="AF49" s="284">
        <v>0</v>
      </c>
      <c r="AG49" s="284">
        <v>0</v>
      </c>
      <c r="AH49" s="284">
        <v>0</v>
      </c>
      <c r="AI49" s="284">
        <v>0</v>
      </c>
      <c r="AJ49" s="284">
        <v>0</v>
      </c>
      <c r="AK49" s="284">
        <v>0</v>
      </c>
      <c r="AL49" s="284">
        <v>0</v>
      </c>
      <c r="AM49" s="284">
        <v>0</v>
      </c>
      <c r="AN49" s="284">
        <v>0</v>
      </c>
      <c r="AO49" s="284">
        <v>0</v>
      </c>
      <c r="AP49" s="284">
        <v>0</v>
      </c>
      <c r="AQ49" s="284">
        <v>0</v>
      </c>
      <c r="AR49" s="284">
        <v>0</v>
      </c>
      <c r="AS49" s="284">
        <v>0</v>
      </c>
      <c r="AT49" s="284">
        <v>0</v>
      </c>
      <c r="AU49" s="284">
        <v>0</v>
      </c>
      <c r="AV49" s="284">
        <v>0</v>
      </c>
      <c r="AW49" s="284">
        <v>0</v>
      </c>
      <c r="AX49" s="284">
        <v>0</v>
      </c>
      <c r="AY49" s="284">
        <v>0</v>
      </c>
      <c r="AZ49" s="284">
        <v>0</v>
      </c>
      <c r="BA49" s="284">
        <v>0</v>
      </c>
      <c r="BB49" s="284">
        <v>0</v>
      </c>
      <c r="BC49" s="284">
        <v>0</v>
      </c>
      <c r="BD49" s="284">
        <v>0</v>
      </c>
      <c r="BE49" s="284">
        <v>0</v>
      </c>
      <c r="BF49" s="284">
        <v>0</v>
      </c>
      <c r="BG49" s="284">
        <v>0</v>
      </c>
      <c r="BH49" s="284">
        <v>0</v>
      </c>
      <c r="BI49" s="284">
        <v>0</v>
      </c>
      <c r="BJ49" s="284">
        <v>0</v>
      </c>
      <c r="BK49" s="284">
        <v>0</v>
      </c>
      <c r="BL49" s="284">
        <v>0</v>
      </c>
      <c r="BM49" s="284">
        <v>0</v>
      </c>
      <c r="BN49" s="284">
        <v>0</v>
      </c>
      <c r="BO49" s="284">
        <v>0</v>
      </c>
      <c r="BP49" s="284">
        <v>0</v>
      </c>
      <c r="BQ49" s="284">
        <v>0</v>
      </c>
      <c r="BR49" s="284">
        <v>0</v>
      </c>
      <c r="BS49" s="284">
        <v>0</v>
      </c>
      <c r="BT49" s="284">
        <v>0</v>
      </c>
      <c r="BU49" s="284">
        <v>0</v>
      </c>
      <c r="BV49" s="284">
        <v>0</v>
      </c>
      <c r="BW49" s="284">
        <v>0</v>
      </c>
      <c r="BX49" s="284">
        <v>0</v>
      </c>
      <c r="BY49" s="284">
        <v>0</v>
      </c>
      <c r="BZ49" s="284">
        <v>0</v>
      </c>
      <c r="CA49" s="284">
        <v>0</v>
      </c>
      <c r="CB49" s="284">
        <v>0</v>
      </c>
      <c r="CC49" s="284">
        <v>0</v>
      </c>
      <c r="CD49" s="284">
        <v>0</v>
      </c>
      <c r="CE49" s="284">
        <v>0</v>
      </c>
      <c r="CF49" s="284">
        <v>0</v>
      </c>
      <c r="CG49" s="284">
        <v>0</v>
      </c>
      <c r="CH49" s="284">
        <v>0</v>
      </c>
      <c r="CI49" s="284">
        <v>0</v>
      </c>
      <c r="CJ49" s="284">
        <v>0</v>
      </c>
      <c r="CK49" s="284">
        <v>0</v>
      </c>
      <c r="CL49" s="284">
        <v>0</v>
      </c>
      <c r="CM49" s="284">
        <v>0</v>
      </c>
      <c r="CN49" s="284">
        <v>0</v>
      </c>
      <c r="CO49" s="284">
        <v>0</v>
      </c>
      <c r="CP49" s="284">
        <v>0</v>
      </c>
      <c r="CQ49" s="284">
        <v>0</v>
      </c>
      <c r="CR49" s="284">
        <v>0</v>
      </c>
      <c r="CS49" s="284">
        <v>0</v>
      </c>
      <c r="CT49" s="284">
        <v>0</v>
      </c>
      <c r="CU49" s="284">
        <v>9460000</v>
      </c>
      <c r="CV49" s="284">
        <v>0</v>
      </c>
      <c r="CW49" s="284">
        <v>9460000</v>
      </c>
      <c r="CX49" s="284">
        <v>9460000</v>
      </c>
      <c r="CY49" s="284">
        <v>8800000</v>
      </c>
      <c r="CZ49" s="284">
        <v>8800000</v>
      </c>
      <c r="DA49" s="284">
        <v>8800000</v>
      </c>
      <c r="DB49" s="284">
        <v>8800000</v>
      </c>
      <c r="DC49" s="284">
        <v>4862000</v>
      </c>
      <c r="DD49" s="284">
        <v>0</v>
      </c>
      <c r="DE49" s="284">
        <v>4862000</v>
      </c>
      <c r="DF49" s="284">
        <v>4862000</v>
      </c>
      <c r="DG49" s="284">
        <v>2200000</v>
      </c>
      <c r="DH49" s="284">
        <v>2200000</v>
      </c>
      <c r="DI49" s="284">
        <v>2200000</v>
      </c>
      <c r="DJ49" s="284">
        <v>2200000</v>
      </c>
      <c r="DK49" s="284">
        <v>0</v>
      </c>
      <c r="DL49" s="284">
        <v>0</v>
      </c>
      <c r="DM49" s="284">
        <v>0</v>
      </c>
      <c r="DN49" s="284">
        <v>0</v>
      </c>
      <c r="DO49" s="284">
        <v>0</v>
      </c>
      <c r="DP49" s="284">
        <v>0</v>
      </c>
      <c r="DQ49" s="284">
        <v>0</v>
      </c>
      <c r="DR49" s="284">
        <v>0</v>
      </c>
      <c r="DS49" s="284">
        <v>2022</v>
      </c>
      <c r="DT49" s="284">
        <v>7</v>
      </c>
      <c r="DU49" s="284">
        <v>27</v>
      </c>
      <c r="DV49" s="284" t="s">
        <v>682</v>
      </c>
      <c r="DW49" s="284" t="s">
        <v>724</v>
      </c>
      <c r="DX49" s="284" t="s">
        <v>679</v>
      </c>
    </row>
    <row r="50" spans="1:128">
      <c r="A50" s="284">
        <v>74</v>
      </c>
      <c r="B50" s="284">
        <v>17504000</v>
      </c>
      <c r="C50" s="284">
        <v>0</v>
      </c>
      <c r="D50" s="284">
        <v>0</v>
      </c>
      <c r="E50" s="284">
        <v>0</v>
      </c>
      <c r="F50" s="284">
        <v>0</v>
      </c>
      <c r="G50" s="284">
        <v>0</v>
      </c>
      <c r="H50" s="284">
        <v>0</v>
      </c>
      <c r="I50" s="284">
        <v>0</v>
      </c>
      <c r="J50" s="284">
        <v>0</v>
      </c>
      <c r="K50" s="284">
        <v>0</v>
      </c>
      <c r="L50" s="284">
        <v>0</v>
      </c>
      <c r="M50" s="284">
        <v>0</v>
      </c>
      <c r="N50" s="284">
        <v>0</v>
      </c>
      <c r="O50" s="284">
        <v>0</v>
      </c>
      <c r="P50" s="284">
        <v>0</v>
      </c>
      <c r="Q50" s="284">
        <v>0</v>
      </c>
      <c r="R50" s="284">
        <v>0</v>
      </c>
      <c r="S50" s="284">
        <v>16508341</v>
      </c>
      <c r="T50" s="284">
        <v>0</v>
      </c>
      <c r="U50" s="284">
        <v>16508341</v>
      </c>
      <c r="V50" s="284">
        <v>16508341</v>
      </c>
      <c r="W50" s="284">
        <v>16470000</v>
      </c>
      <c r="X50" s="284">
        <v>16470000</v>
      </c>
      <c r="Y50" s="284">
        <v>16470000</v>
      </c>
      <c r="Z50" s="284">
        <v>16470000</v>
      </c>
      <c r="AA50" s="284">
        <v>1034000</v>
      </c>
      <c r="AB50" s="284">
        <v>0</v>
      </c>
      <c r="AC50" s="284">
        <v>1034000</v>
      </c>
      <c r="AD50" s="284">
        <v>1034000</v>
      </c>
      <c r="AE50" s="284">
        <v>8640000</v>
      </c>
      <c r="AF50" s="284">
        <v>1034000</v>
      </c>
      <c r="AG50" s="284">
        <v>1034000</v>
      </c>
      <c r="AH50" s="284">
        <v>1034000</v>
      </c>
      <c r="AI50" s="284">
        <v>0</v>
      </c>
      <c r="AJ50" s="284">
        <v>0</v>
      </c>
      <c r="AK50" s="284">
        <v>0</v>
      </c>
      <c r="AL50" s="284">
        <v>0</v>
      </c>
      <c r="AM50" s="284">
        <v>0</v>
      </c>
      <c r="AN50" s="284">
        <v>0</v>
      </c>
      <c r="AO50" s="284">
        <v>0</v>
      </c>
      <c r="AP50" s="284">
        <v>0</v>
      </c>
      <c r="AQ50" s="284">
        <v>0</v>
      </c>
      <c r="AR50" s="284">
        <v>0</v>
      </c>
      <c r="AS50" s="284">
        <v>0</v>
      </c>
      <c r="AT50" s="284">
        <v>0</v>
      </c>
      <c r="AU50" s="284">
        <v>0</v>
      </c>
      <c r="AV50" s="284">
        <v>0</v>
      </c>
      <c r="AW50" s="284">
        <v>0</v>
      </c>
      <c r="AX50" s="284">
        <v>0</v>
      </c>
      <c r="AY50" s="284">
        <v>0</v>
      </c>
      <c r="AZ50" s="284">
        <v>0</v>
      </c>
      <c r="BA50" s="284">
        <v>0</v>
      </c>
      <c r="BB50" s="284">
        <v>0</v>
      </c>
      <c r="BC50" s="284">
        <v>0</v>
      </c>
      <c r="BD50" s="284">
        <v>0</v>
      </c>
      <c r="BE50" s="284">
        <v>0</v>
      </c>
      <c r="BF50" s="284">
        <v>0</v>
      </c>
      <c r="BG50" s="284">
        <v>0</v>
      </c>
      <c r="BH50" s="284">
        <v>0</v>
      </c>
      <c r="BI50" s="284">
        <v>0</v>
      </c>
      <c r="BJ50" s="284">
        <v>0</v>
      </c>
      <c r="BK50" s="284">
        <v>0</v>
      </c>
      <c r="BL50" s="284">
        <v>0</v>
      </c>
      <c r="BM50" s="284">
        <v>0</v>
      </c>
      <c r="BN50" s="284">
        <v>0</v>
      </c>
      <c r="BO50" s="284">
        <v>0</v>
      </c>
      <c r="BP50" s="284">
        <v>0</v>
      </c>
      <c r="BQ50" s="284">
        <v>0</v>
      </c>
      <c r="BR50" s="284">
        <v>0</v>
      </c>
      <c r="BS50" s="284">
        <v>0</v>
      </c>
      <c r="BT50" s="284">
        <v>0</v>
      </c>
      <c r="BU50" s="284">
        <v>0</v>
      </c>
      <c r="BV50" s="284">
        <v>0</v>
      </c>
      <c r="BW50" s="284">
        <v>0</v>
      </c>
      <c r="BX50" s="284">
        <v>0</v>
      </c>
      <c r="BY50" s="284">
        <v>0</v>
      </c>
      <c r="BZ50" s="284">
        <v>0</v>
      </c>
      <c r="CA50" s="284">
        <v>0</v>
      </c>
      <c r="CB50" s="284">
        <v>0</v>
      </c>
      <c r="CC50" s="284">
        <v>0</v>
      </c>
      <c r="CD50" s="284">
        <v>0</v>
      </c>
      <c r="CE50" s="284">
        <v>0</v>
      </c>
      <c r="CF50" s="284">
        <v>0</v>
      </c>
      <c r="CG50" s="284">
        <v>0</v>
      </c>
      <c r="CH50" s="284">
        <v>0</v>
      </c>
      <c r="CI50" s="284">
        <v>0</v>
      </c>
      <c r="CJ50" s="284">
        <v>0</v>
      </c>
      <c r="CK50" s="284">
        <v>0</v>
      </c>
      <c r="CL50" s="284">
        <v>0</v>
      </c>
      <c r="CM50" s="284">
        <v>0</v>
      </c>
      <c r="CN50" s="284">
        <v>0</v>
      </c>
      <c r="CO50" s="284">
        <v>0</v>
      </c>
      <c r="CP50" s="284">
        <v>0</v>
      </c>
      <c r="CQ50" s="284">
        <v>0</v>
      </c>
      <c r="CR50" s="284">
        <v>0</v>
      </c>
      <c r="CS50" s="284">
        <v>0</v>
      </c>
      <c r="CT50" s="284">
        <v>0</v>
      </c>
      <c r="CU50" s="284">
        <v>0</v>
      </c>
      <c r="CV50" s="284">
        <v>0</v>
      </c>
      <c r="CW50" s="284">
        <v>0</v>
      </c>
      <c r="CX50" s="284">
        <v>0</v>
      </c>
      <c r="CY50" s="284">
        <v>0</v>
      </c>
      <c r="CZ50" s="284">
        <v>0</v>
      </c>
      <c r="DA50" s="284">
        <v>0</v>
      </c>
      <c r="DB50" s="284">
        <v>0</v>
      </c>
      <c r="DC50" s="284">
        <v>0</v>
      </c>
      <c r="DD50" s="284">
        <v>0</v>
      </c>
      <c r="DE50" s="284">
        <v>0</v>
      </c>
      <c r="DF50" s="284">
        <v>0</v>
      </c>
      <c r="DG50" s="284">
        <v>0</v>
      </c>
      <c r="DH50" s="284">
        <v>0</v>
      </c>
      <c r="DI50" s="284">
        <v>0</v>
      </c>
      <c r="DJ50" s="284">
        <v>0</v>
      </c>
      <c r="DK50" s="284">
        <v>0</v>
      </c>
      <c r="DL50" s="284">
        <v>0</v>
      </c>
      <c r="DM50" s="284">
        <v>0</v>
      </c>
      <c r="DN50" s="284">
        <v>0</v>
      </c>
      <c r="DO50" s="284">
        <v>0</v>
      </c>
      <c r="DP50" s="284">
        <v>0</v>
      </c>
      <c r="DQ50" s="284">
        <v>0</v>
      </c>
      <c r="DR50" s="284">
        <v>0</v>
      </c>
      <c r="DS50" s="284">
        <v>2022</v>
      </c>
      <c r="DT50" s="284">
        <v>7</v>
      </c>
      <c r="DU50" s="284">
        <v>27</v>
      </c>
      <c r="DV50" s="284" t="s">
        <v>682</v>
      </c>
      <c r="DW50" s="284" t="s">
        <v>725</v>
      </c>
      <c r="DX50" s="284" t="s">
        <v>679</v>
      </c>
    </row>
    <row r="51" spans="1:128">
      <c r="A51" s="284">
        <v>75</v>
      </c>
      <c r="B51" s="284">
        <v>6723000</v>
      </c>
      <c r="C51" s="284">
        <v>0</v>
      </c>
      <c r="D51" s="284">
        <v>0</v>
      </c>
      <c r="E51" s="284">
        <v>0</v>
      </c>
      <c r="F51" s="284">
        <v>0</v>
      </c>
      <c r="G51" s="284">
        <v>0</v>
      </c>
      <c r="H51" s="284">
        <v>0</v>
      </c>
      <c r="I51" s="284">
        <v>0</v>
      </c>
      <c r="J51" s="284">
        <v>0</v>
      </c>
      <c r="K51" s="284">
        <v>0</v>
      </c>
      <c r="L51" s="284">
        <v>0</v>
      </c>
      <c r="M51" s="284">
        <v>0</v>
      </c>
      <c r="N51" s="284">
        <v>0</v>
      </c>
      <c r="O51" s="284">
        <v>0</v>
      </c>
      <c r="P51" s="284">
        <v>0</v>
      </c>
      <c r="Q51" s="284">
        <v>0</v>
      </c>
      <c r="R51" s="284">
        <v>0</v>
      </c>
      <c r="S51" s="284">
        <v>3291860</v>
      </c>
      <c r="T51" s="284">
        <v>0</v>
      </c>
      <c r="U51" s="284">
        <v>3291860</v>
      </c>
      <c r="V51" s="284">
        <v>3291860</v>
      </c>
      <c r="W51" s="284">
        <v>3294000</v>
      </c>
      <c r="X51" s="284">
        <v>3291860</v>
      </c>
      <c r="Y51" s="284">
        <v>3291860</v>
      </c>
      <c r="Z51" s="284">
        <v>3291000</v>
      </c>
      <c r="AA51" s="284">
        <v>0</v>
      </c>
      <c r="AB51" s="284">
        <v>0</v>
      </c>
      <c r="AC51" s="284">
        <v>0</v>
      </c>
      <c r="AD51" s="284">
        <v>0</v>
      </c>
      <c r="AE51" s="284">
        <v>0</v>
      </c>
      <c r="AF51" s="284">
        <v>0</v>
      </c>
      <c r="AG51" s="284">
        <v>0</v>
      </c>
      <c r="AH51" s="284">
        <v>0</v>
      </c>
      <c r="AI51" s="284">
        <v>0</v>
      </c>
      <c r="AJ51" s="284">
        <v>0</v>
      </c>
      <c r="AK51" s="284">
        <v>0</v>
      </c>
      <c r="AL51" s="284">
        <v>0</v>
      </c>
      <c r="AM51" s="284">
        <v>0</v>
      </c>
      <c r="AN51" s="284">
        <v>0</v>
      </c>
      <c r="AO51" s="284">
        <v>0</v>
      </c>
      <c r="AP51" s="284">
        <v>0</v>
      </c>
      <c r="AQ51" s="284">
        <v>0</v>
      </c>
      <c r="AR51" s="284">
        <v>0</v>
      </c>
      <c r="AS51" s="284">
        <v>0</v>
      </c>
      <c r="AT51" s="284">
        <v>0</v>
      </c>
      <c r="AU51" s="284">
        <v>0</v>
      </c>
      <c r="AV51" s="284">
        <v>0</v>
      </c>
      <c r="AW51" s="284">
        <v>0</v>
      </c>
      <c r="AX51" s="284">
        <v>0</v>
      </c>
      <c r="AY51" s="284">
        <v>0</v>
      </c>
      <c r="AZ51" s="284">
        <v>0</v>
      </c>
      <c r="BA51" s="284">
        <v>0</v>
      </c>
      <c r="BB51" s="284">
        <v>0</v>
      </c>
      <c r="BC51" s="284">
        <v>0</v>
      </c>
      <c r="BD51" s="284">
        <v>0</v>
      </c>
      <c r="BE51" s="284">
        <v>0</v>
      </c>
      <c r="BF51" s="284">
        <v>0</v>
      </c>
      <c r="BG51" s="284">
        <v>0</v>
      </c>
      <c r="BH51" s="284">
        <v>0</v>
      </c>
      <c r="BI51" s="284">
        <v>0</v>
      </c>
      <c r="BJ51" s="284">
        <v>0</v>
      </c>
      <c r="BK51" s="284">
        <v>0</v>
      </c>
      <c r="BL51" s="284">
        <v>0</v>
      </c>
      <c r="BM51" s="284">
        <v>0</v>
      </c>
      <c r="BN51" s="284">
        <v>0</v>
      </c>
      <c r="BO51" s="284">
        <v>0</v>
      </c>
      <c r="BP51" s="284">
        <v>0</v>
      </c>
      <c r="BQ51" s="284">
        <v>0</v>
      </c>
      <c r="BR51" s="284">
        <v>0</v>
      </c>
      <c r="BS51" s="284">
        <v>0</v>
      </c>
      <c r="BT51" s="284">
        <v>0</v>
      </c>
      <c r="BU51" s="284">
        <v>0</v>
      </c>
      <c r="BV51" s="284">
        <v>0</v>
      </c>
      <c r="BW51" s="284">
        <v>0</v>
      </c>
      <c r="BX51" s="284">
        <v>0</v>
      </c>
      <c r="BY51" s="284">
        <v>0</v>
      </c>
      <c r="BZ51" s="284">
        <v>0</v>
      </c>
      <c r="CA51" s="284">
        <v>0</v>
      </c>
      <c r="CB51" s="284">
        <v>0</v>
      </c>
      <c r="CC51" s="284">
        <v>0</v>
      </c>
      <c r="CD51" s="284">
        <v>0</v>
      </c>
      <c r="CE51" s="284">
        <v>0</v>
      </c>
      <c r="CF51" s="284">
        <v>0</v>
      </c>
      <c r="CG51" s="284">
        <v>0</v>
      </c>
      <c r="CH51" s="284">
        <v>0</v>
      </c>
      <c r="CI51" s="284">
        <v>0</v>
      </c>
      <c r="CJ51" s="284">
        <v>0</v>
      </c>
      <c r="CK51" s="284">
        <v>0</v>
      </c>
      <c r="CL51" s="284">
        <v>0</v>
      </c>
      <c r="CM51" s="284">
        <v>0</v>
      </c>
      <c r="CN51" s="284">
        <v>0</v>
      </c>
      <c r="CO51" s="284">
        <v>0</v>
      </c>
      <c r="CP51" s="284">
        <v>0</v>
      </c>
      <c r="CQ51" s="284">
        <v>0</v>
      </c>
      <c r="CR51" s="284">
        <v>0</v>
      </c>
      <c r="CS51" s="284">
        <v>0</v>
      </c>
      <c r="CT51" s="284">
        <v>0</v>
      </c>
      <c r="CU51" s="284">
        <v>3432000</v>
      </c>
      <c r="CV51" s="284">
        <v>0</v>
      </c>
      <c r="CW51" s="284">
        <v>3432000</v>
      </c>
      <c r="CX51" s="284">
        <v>3432000</v>
      </c>
      <c r="CY51" s="284">
        <v>4400000</v>
      </c>
      <c r="CZ51" s="284">
        <v>3432000</v>
      </c>
      <c r="DA51" s="284">
        <v>3432000</v>
      </c>
      <c r="DB51" s="284">
        <v>3432000</v>
      </c>
      <c r="DC51" s="284">
        <v>0</v>
      </c>
      <c r="DD51" s="284">
        <v>0</v>
      </c>
      <c r="DE51" s="284">
        <v>0</v>
      </c>
      <c r="DF51" s="284">
        <v>0</v>
      </c>
      <c r="DG51" s="284">
        <v>0</v>
      </c>
      <c r="DH51" s="284">
        <v>0</v>
      </c>
      <c r="DI51" s="284">
        <v>0</v>
      </c>
      <c r="DJ51" s="284">
        <v>0</v>
      </c>
      <c r="DK51" s="284">
        <v>0</v>
      </c>
      <c r="DL51" s="284">
        <v>0</v>
      </c>
      <c r="DM51" s="284">
        <v>0</v>
      </c>
      <c r="DN51" s="284">
        <v>0</v>
      </c>
      <c r="DO51" s="284">
        <v>0</v>
      </c>
      <c r="DP51" s="284">
        <v>0</v>
      </c>
      <c r="DQ51" s="284">
        <v>0</v>
      </c>
      <c r="DR51" s="284">
        <v>0</v>
      </c>
      <c r="DS51" s="284">
        <v>2022</v>
      </c>
      <c r="DT51" s="284">
        <v>7</v>
      </c>
      <c r="DU51" s="284">
        <v>27</v>
      </c>
      <c r="DV51" s="284" t="s">
        <v>694</v>
      </c>
      <c r="DW51" s="284" t="s">
        <v>681</v>
      </c>
      <c r="DX51" s="284" t="s">
        <v>679</v>
      </c>
    </row>
    <row r="52" spans="1:128">
      <c r="A52" s="284">
        <v>76</v>
      </c>
      <c r="B52" s="284">
        <v>11199000</v>
      </c>
      <c r="C52" s="284">
        <v>0</v>
      </c>
      <c r="D52" s="284">
        <v>0</v>
      </c>
      <c r="E52" s="284">
        <v>0</v>
      </c>
      <c r="F52" s="284">
        <v>0</v>
      </c>
      <c r="G52" s="284">
        <v>0</v>
      </c>
      <c r="H52" s="284">
        <v>0</v>
      </c>
      <c r="I52" s="284">
        <v>0</v>
      </c>
      <c r="J52" s="284">
        <v>0</v>
      </c>
      <c r="K52" s="284">
        <v>0</v>
      </c>
      <c r="L52" s="284">
        <v>0</v>
      </c>
      <c r="M52" s="284">
        <v>0</v>
      </c>
      <c r="N52" s="284">
        <v>0</v>
      </c>
      <c r="O52" s="284">
        <v>0</v>
      </c>
      <c r="P52" s="284">
        <v>0</v>
      </c>
      <c r="Q52" s="284">
        <v>0</v>
      </c>
      <c r="R52" s="284">
        <v>0</v>
      </c>
      <c r="S52" s="284">
        <v>11212476</v>
      </c>
      <c r="T52" s="284">
        <v>0</v>
      </c>
      <c r="U52" s="284">
        <v>11212476</v>
      </c>
      <c r="V52" s="284">
        <v>11212476</v>
      </c>
      <c r="W52" s="284">
        <v>11199600</v>
      </c>
      <c r="X52" s="284">
        <v>11199600</v>
      </c>
      <c r="Y52" s="284">
        <v>11199600</v>
      </c>
      <c r="Z52" s="284">
        <v>11199000</v>
      </c>
      <c r="AA52" s="284">
        <v>0</v>
      </c>
      <c r="AB52" s="284">
        <v>0</v>
      </c>
      <c r="AC52" s="284">
        <v>0</v>
      </c>
      <c r="AD52" s="284">
        <v>0</v>
      </c>
      <c r="AE52" s="284">
        <v>0</v>
      </c>
      <c r="AF52" s="284">
        <v>0</v>
      </c>
      <c r="AG52" s="284">
        <v>0</v>
      </c>
      <c r="AH52" s="284">
        <v>0</v>
      </c>
      <c r="AI52" s="284">
        <v>0</v>
      </c>
      <c r="AJ52" s="284">
        <v>0</v>
      </c>
      <c r="AK52" s="284">
        <v>0</v>
      </c>
      <c r="AL52" s="284">
        <v>0</v>
      </c>
      <c r="AM52" s="284">
        <v>0</v>
      </c>
      <c r="AN52" s="284">
        <v>0</v>
      </c>
      <c r="AO52" s="284">
        <v>0</v>
      </c>
      <c r="AP52" s="284">
        <v>0</v>
      </c>
      <c r="AQ52" s="284">
        <v>0</v>
      </c>
      <c r="AR52" s="284">
        <v>0</v>
      </c>
      <c r="AS52" s="284">
        <v>0</v>
      </c>
      <c r="AT52" s="284">
        <v>0</v>
      </c>
      <c r="AU52" s="284">
        <v>0</v>
      </c>
      <c r="AV52" s="284">
        <v>0</v>
      </c>
      <c r="AW52" s="284">
        <v>0</v>
      </c>
      <c r="AX52" s="284">
        <v>0</v>
      </c>
      <c r="AY52" s="284">
        <v>0</v>
      </c>
      <c r="AZ52" s="284">
        <v>0</v>
      </c>
      <c r="BA52" s="284">
        <v>0</v>
      </c>
      <c r="BB52" s="284">
        <v>0</v>
      </c>
      <c r="BC52" s="284">
        <v>0</v>
      </c>
      <c r="BD52" s="284">
        <v>0</v>
      </c>
      <c r="BE52" s="284">
        <v>0</v>
      </c>
      <c r="BF52" s="284">
        <v>0</v>
      </c>
      <c r="BG52" s="284">
        <v>0</v>
      </c>
      <c r="BH52" s="284">
        <v>0</v>
      </c>
      <c r="BI52" s="284">
        <v>0</v>
      </c>
      <c r="BJ52" s="284">
        <v>0</v>
      </c>
      <c r="BK52" s="284">
        <v>0</v>
      </c>
      <c r="BL52" s="284">
        <v>0</v>
      </c>
      <c r="BM52" s="284">
        <v>0</v>
      </c>
      <c r="BN52" s="284">
        <v>0</v>
      </c>
      <c r="BO52" s="284">
        <v>0</v>
      </c>
      <c r="BP52" s="284">
        <v>0</v>
      </c>
      <c r="BQ52" s="284">
        <v>0</v>
      </c>
      <c r="BR52" s="284">
        <v>0</v>
      </c>
      <c r="BS52" s="284">
        <v>0</v>
      </c>
      <c r="BT52" s="284">
        <v>0</v>
      </c>
      <c r="BU52" s="284">
        <v>0</v>
      </c>
      <c r="BV52" s="284">
        <v>0</v>
      </c>
      <c r="BW52" s="284">
        <v>0</v>
      </c>
      <c r="BX52" s="284">
        <v>0</v>
      </c>
      <c r="BY52" s="284">
        <v>0</v>
      </c>
      <c r="BZ52" s="284">
        <v>0</v>
      </c>
      <c r="CA52" s="284">
        <v>0</v>
      </c>
      <c r="CB52" s="284">
        <v>0</v>
      </c>
      <c r="CC52" s="284">
        <v>0</v>
      </c>
      <c r="CD52" s="284">
        <v>0</v>
      </c>
      <c r="CE52" s="284">
        <v>0</v>
      </c>
      <c r="CF52" s="284">
        <v>0</v>
      </c>
      <c r="CG52" s="284">
        <v>0</v>
      </c>
      <c r="CH52" s="284">
        <v>0</v>
      </c>
      <c r="CI52" s="284">
        <v>0</v>
      </c>
      <c r="CJ52" s="284">
        <v>0</v>
      </c>
      <c r="CK52" s="284">
        <v>0</v>
      </c>
      <c r="CL52" s="284">
        <v>0</v>
      </c>
      <c r="CM52" s="284">
        <v>0</v>
      </c>
      <c r="CN52" s="284">
        <v>0</v>
      </c>
      <c r="CO52" s="284">
        <v>0</v>
      </c>
      <c r="CP52" s="284">
        <v>0</v>
      </c>
      <c r="CQ52" s="284">
        <v>0</v>
      </c>
      <c r="CR52" s="284">
        <v>0</v>
      </c>
      <c r="CS52" s="284">
        <v>0</v>
      </c>
      <c r="CT52" s="284">
        <v>0</v>
      </c>
      <c r="CU52" s="284">
        <v>0</v>
      </c>
      <c r="CV52" s="284">
        <v>0</v>
      </c>
      <c r="CW52" s="284">
        <v>0</v>
      </c>
      <c r="CX52" s="284">
        <v>0</v>
      </c>
      <c r="CY52" s="284">
        <v>0</v>
      </c>
      <c r="CZ52" s="284">
        <v>0</v>
      </c>
      <c r="DA52" s="284">
        <v>0</v>
      </c>
      <c r="DB52" s="284">
        <v>0</v>
      </c>
      <c r="DC52" s="284">
        <v>0</v>
      </c>
      <c r="DD52" s="284">
        <v>0</v>
      </c>
      <c r="DE52" s="284">
        <v>0</v>
      </c>
      <c r="DF52" s="284">
        <v>0</v>
      </c>
      <c r="DG52" s="284">
        <v>0</v>
      </c>
      <c r="DH52" s="284">
        <v>0</v>
      </c>
      <c r="DI52" s="284">
        <v>0</v>
      </c>
      <c r="DJ52" s="284">
        <v>0</v>
      </c>
      <c r="DK52" s="284">
        <v>0</v>
      </c>
      <c r="DL52" s="284">
        <v>0</v>
      </c>
      <c r="DM52" s="284">
        <v>0</v>
      </c>
      <c r="DN52" s="284">
        <v>0</v>
      </c>
      <c r="DO52" s="284">
        <v>0</v>
      </c>
      <c r="DP52" s="284">
        <v>0</v>
      </c>
      <c r="DQ52" s="284">
        <v>0</v>
      </c>
      <c r="DR52" s="284">
        <v>0</v>
      </c>
      <c r="DS52" s="284">
        <v>2022</v>
      </c>
      <c r="DT52" s="284">
        <v>7</v>
      </c>
      <c r="DU52" s="284">
        <v>27</v>
      </c>
      <c r="DV52" s="284" t="s">
        <v>682</v>
      </c>
      <c r="DW52" s="284" t="s">
        <v>726</v>
      </c>
      <c r="DX52" s="284" t="s">
        <v>679</v>
      </c>
    </row>
    <row r="53" spans="1:128">
      <c r="A53" s="284">
        <v>77</v>
      </c>
      <c r="B53" s="284">
        <v>7275000</v>
      </c>
      <c r="C53" s="284">
        <v>0</v>
      </c>
      <c r="D53" s="284">
        <v>0</v>
      </c>
      <c r="E53" s="284">
        <v>0</v>
      </c>
      <c r="F53" s="284">
        <v>0</v>
      </c>
      <c r="G53" s="284">
        <v>0</v>
      </c>
      <c r="H53" s="284">
        <v>0</v>
      </c>
      <c r="I53" s="284">
        <v>0</v>
      </c>
      <c r="J53" s="284">
        <v>0</v>
      </c>
      <c r="K53" s="284">
        <v>0</v>
      </c>
      <c r="L53" s="284">
        <v>0</v>
      </c>
      <c r="M53" s="284">
        <v>0</v>
      </c>
      <c r="N53" s="284">
        <v>0</v>
      </c>
      <c r="O53" s="284">
        <v>0</v>
      </c>
      <c r="P53" s="284">
        <v>0</v>
      </c>
      <c r="Q53" s="284">
        <v>0</v>
      </c>
      <c r="R53" s="284">
        <v>0</v>
      </c>
      <c r="S53" s="284">
        <v>3004450</v>
      </c>
      <c r="T53" s="284">
        <v>0</v>
      </c>
      <c r="U53" s="284">
        <v>3004450</v>
      </c>
      <c r="V53" s="284">
        <v>3004450</v>
      </c>
      <c r="W53" s="284">
        <v>5929200</v>
      </c>
      <c r="X53" s="284">
        <v>3004450</v>
      </c>
      <c r="Y53" s="284">
        <v>3004450</v>
      </c>
      <c r="Z53" s="284">
        <v>3004000</v>
      </c>
      <c r="AA53" s="284">
        <v>4271832</v>
      </c>
      <c r="AB53" s="284">
        <v>0</v>
      </c>
      <c r="AC53" s="284">
        <v>4271832</v>
      </c>
      <c r="AD53" s="284">
        <v>4271832</v>
      </c>
      <c r="AE53" s="284">
        <v>4320000</v>
      </c>
      <c r="AF53" s="284">
        <v>4271832</v>
      </c>
      <c r="AG53" s="284">
        <v>4271832</v>
      </c>
      <c r="AH53" s="284">
        <v>4271000</v>
      </c>
      <c r="AI53" s="284">
        <v>0</v>
      </c>
      <c r="AJ53" s="284">
        <v>0</v>
      </c>
      <c r="AK53" s="284">
        <v>0</v>
      </c>
      <c r="AL53" s="284">
        <v>0</v>
      </c>
      <c r="AM53" s="284">
        <v>0</v>
      </c>
      <c r="AN53" s="284">
        <v>0</v>
      </c>
      <c r="AO53" s="284">
        <v>0</v>
      </c>
      <c r="AP53" s="284">
        <v>0</v>
      </c>
      <c r="AQ53" s="284">
        <v>0</v>
      </c>
      <c r="AR53" s="284">
        <v>0</v>
      </c>
      <c r="AS53" s="284">
        <v>0</v>
      </c>
      <c r="AT53" s="284">
        <v>0</v>
      </c>
      <c r="AU53" s="284">
        <v>0</v>
      </c>
      <c r="AV53" s="284">
        <v>0</v>
      </c>
      <c r="AW53" s="284">
        <v>0</v>
      </c>
      <c r="AX53" s="284">
        <v>0</v>
      </c>
      <c r="AY53" s="284">
        <v>0</v>
      </c>
      <c r="AZ53" s="284">
        <v>0</v>
      </c>
      <c r="BA53" s="284">
        <v>0</v>
      </c>
      <c r="BB53" s="284">
        <v>0</v>
      </c>
      <c r="BC53" s="284">
        <v>0</v>
      </c>
      <c r="BD53" s="284">
        <v>0</v>
      </c>
      <c r="BE53" s="284">
        <v>0</v>
      </c>
      <c r="BF53" s="284">
        <v>0</v>
      </c>
      <c r="BG53" s="284">
        <v>0</v>
      </c>
      <c r="BH53" s="284">
        <v>0</v>
      </c>
      <c r="BI53" s="284">
        <v>0</v>
      </c>
      <c r="BJ53" s="284">
        <v>0</v>
      </c>
      <c r="BK53" s="284">
        <v>0</v>
      </c>
      <c r="BL53" s="284">
        <v>0</v>
      </c>
      <c r="BM53" s="284">
        <v>0</v>
      </c>
      <c r="BN53" s="284">
        <v>0</v>
      </c>
      <c r="BO53" s="284">
        <v>0</v>
      </c>
      <c r="BP53" s="284">
        <v>0</v>
      </c>
      <c r="BQ53" s="284">
        <v>0</v>
      </c>
      <c r="BR53" s="284">
        <v>0</v>
      </c>
      <c r="BS53" s="284">
        <v>0</v>
      </c>
      <c r="BT53" s="284">
        <v>0</v>
      </c>
      <c r="BU53" s="284">
        <v>0</v>
      </c>
      <c r="BV53" s="284">
        <v>0</v>
      </c>
      <c r="BW53" s="284">
        <v>0</v>
      </c>
      <c r="BX53" s="284">
        <v>0</v>
      </c>
      <c r="BY53" s="284">
        <v>0</v>
      </c>
      <c r="BZ53" s="284">
        <v>0</v>
      </c>
      <c r="CA53" s="284">
        <v>0</v>
      </c>
      <c r="CB53" s="284">
        <v>0</v>
      </c>
      <c r="CC53" s="284">
        <v>0</v>
      </c>
      <c r="CD53" s="284">
        <v>0</v>
      </c>
      <c r="CE53" s="284">
        <v>0</v>
      </c>
      <c r="CF53" s="284">
        <v>0</v>
      </c>
      <c r="CG53" s="284">
        <v>0</v>
      </c>
      <c r="CH53" s="284">
        <v>0</v>
      </c>
      <c r="CI53" s="284">
        <v>0</v>
      </c>
      <c r="CJ53" s="284">
        <v>0</v>
      </c>
      <c r="CK53" s="284">
        <v>0</v>
      </c>
      <c r="CL53" s="284">
        <v>0</v>
      </c>
      <c r="CM53" s="284">
        <v>0</v>
      </c>
      <c r="CN53" s="284">
        <v>0</v>
      </c>
      <c r="CO53" s="284">
        <v>0</v>
      </c>
      <c r="CP53" s="284">
        <v>0</v>
      </c>
      <c r="CQ53" s="284">
        <v>0</v>
      </c>
      <c r="CR53" s="284">
        <v>0</v>
      </c>
      <c r="CS53" s="284">
        <v>0</v>
      </c>
      <c r="CT53" s="284">
        <v>0</v>
      </c>
      <c r="CU53" s="284">
        <v>0</v>
      </c>
      <c r="CV53" s="284">
        <v>0</v>
      </c>
      <c r="CW53" s="284">
        <v>0</v>
      </c>
      <c r="CX53" s="284">
        <v>0</v>
      </c>
      <c r="CY53" s="284">
        <v>0</v>
      </c>
      <c r="CZ53" s="284">
        <v>0</v>
      </c>
      <c r="DA53" s="284">
        <v>0</v>
      </c>
      <c r="DB53" s="284">
        <v>0</v>
      </c>
      <c r="DC53" s="284">
        <v>0</v>
      </c>
      <c r="DD53" s="284">
        <v>0</v>
      </c>
      <c r="DE53" s="284">
        <v>0</v>
      </c>
      <c r="DF53" s="284">
        <v>0</v>
      </c>
      <c r="DG53" s="284">
        <v>0</v>
      </c>
      <c r="DH53" s="284">
        <v>0</v>
      </c>
      <c r="DI53" s="284">
        <v>0</v>
      </c>
      <c r="DJ53" s="284">
        <v>0</v>
      </c>
      <c r="DK53" s="284">
        <v>0</v>
      </c>
      <c r="DL53" s="284">
        <v>0</v>
      </c>
      <c r="DM53" s="284">
        <v>0</v>
      </c>
      <c r="DN53" s="284">
        <v>0</v>
      </c>
      <c r="DO53" s="284">
        <v>0</v>
      </c>
      <c r="DP53" s="284">
        <v>0</v>
      </c>
      <c r="DQ53" s="284">
        <v>0</v>
      </c>
      <c r="DR53" s="284">
        <v>0</v>
      </c>
      <c r="DS53" s="284">
        <v>2022</v>
      </c>
      <c r="DT53" s="284">
        <v>7</v>
      </c>
      <c r="DU53" s="284">
        <v>27</v>
      </c>
      <c r="DV53" s="284" t="s">
        <v>727</v>
      </c>
      <c r="DW53" s="284" t="s">
        <v>728</v>
      </c>
      <c r="DX53" s="284" t="s">
        <v>679</v>
      </c>
    </row>
    <row r="54" spans="1:128">
      <c r="A54" s="284">
        <v>78</v>
      </c>
      <c r="B54" s="284">
        <v>1904000</v>
      </c>
      <c r="C54" s="284">
        <v>0</v>
      </c>
      <c r="D54" s="284">
        <v>0</v>
      </c>
      <c r="E54" s="284">
        <v>0</v>
      </c>
      <c r="F54" s="284">
        <v>0</v>
      </c>
      <c r="G54" s="284">
        <v>0</v>
      </c>
      <c r="H54" s="284">
        <v>0</v>
      </c>
      <c r="I54" s="284">
        <v>0</v>
      </c>
      <c r="J54" s="284">
        <v>0</v>
      </c>
      <c r="K54" s="284">
        <v>0</v>
      </c>
      <c r="L54" s="284">
        <v>0</v>
      </c>
      <c r="M54" s="284">
        <v>0</v>
      </c>
      <c r="N54" s="284">
        <v>0</v>
      </c>
      <c r="O54" s="284">
        <v>0</v>
      </c>
      <c r="P54" s="284">
        <v>0</v>
      </c>
      <c r="Q54" s="284">
        <v>0</v>
      </c>
      <c r="R54" s="284">
        <v>0</v>
      </c>
      <c r="S54" s="284">
        <v>804951</v>
      </c>
      <c r="T54" s="284">
        <v>0</v>
      </c>
      <c r="U54" s="284">
        <v>804951</v>
      </c>
      <c r="V54" s="284">
        <v>804951</v>
      </c>
      <c r="W54" s="284">
        <v>3952800</v>
      </c>
      <c r="X54" s="284">
        <v>804951</v>
      </c>
      <c r="Y54" s="284">
        <v>804951</v>
      </c>
      <c r="Z54" s="284">
        <v>804000</v>
      </c>
      <c r="AA54" s="284">
        <v>0</v>
      </c>
      <c r="AB54" s="284">
        <v>0</v>
      </c>
      <c r="AC54" s="284">
        <v>0</v>
      </c>
      <c r="AD54" s="284">
        <v>0</v>
      </c>
      <c r="AE54" s="284">
        <v>0</v>
      </c>
      <c r="AF54" s="284">
        <v>0</v>
      </c>
      <c r="AG54" s="284">
        <v>0</v>
      </c>
      <c r="AH54" s="284">
        <v>0</v>
      </c>
      <c r="AI54" s="284">
        <v>0</v>
      </c>
      <c r="AJ54" s="284">
        <v>0</v>
      </c>
      <c r="AK54" s="284">
        <v>0</v>
      </c>
      <c r="AL54" s="284">
        <v>0</v>
      </c>
      <c r="AM54" s="284">
        <v>0</v>
      </c>
      <c r="AN54" s="284">
        <v>0</v>
      </c>
      <c r="AO54" s="284">
        <v>0</v>
      </c>
      <c r="AP54" s="284">
        <v>0</v>
      </c>
      <c r="AQ54" s="284">
        <v>0</v>
      </c>
      <c r="AR54" s="284">
        <v>0</v>
      </c>
      <c r="AS54" s="284">
        <v>0</v>
      </c>
      <c r="AT54" s="284">
        <v>0</v>
      </c>
      <c r="AU54" s="284">
        <v>0</v>
      </c>
      <c r="AV54" s="284">
        <v>0</v>
      </c>
      <c r="AW54" s="284">
        <v>0</v>
      </c>
      <c r="AX54" s="284">
        <v>0</v>
      </c>
      <c r="AY54" s="284">
        <v>0</v>
      </c>
      <c r="AZ54" s="284">
        <v>0</v>
      </c>
      <c r="BA54" s="284">
        <v>0</v>
      </c>
      <c r="BB54" s="284">
        <v>0</v>
      </c>
      <c r="BC54" s="284">
        <v>0</v>
      </c>
      <c r="BD54" s="284">
        <v>0</v>
      </c>
      <c r="BE54" s="284">
        <v>0</v>
      </c>
      <c r="BF54" s="284">
        <v>0</v>
      </c>
      <c r="BG54" s="284">
        <v>0</v>
      </c>
      <c r="BH54" s="284">
        <v>0</v>
      </c>
      <c r="BI54" s="284">
        <v>0</v>
      </c>
      <c r="BJ54" s="284">
        <v>0</v>
      </c>
      <c r="BK54" s="284">
        <v>0</v>
      </c>
      <c r="BL54" s="284">
        <v>0</v>
      </c>
      <c r="BM54" s="284">
        <v>0</v>
      </c>
      <c r="BN54" s="284">
        <v>0</v>
      </c>
      <c r="BO54" s="284">
        <v>0</v>
      </c>
      <c r="BP54" s="284">
        <v>0</v>
      </c>
      <c r="BQ54" s="284">
        <v>0</v>
      </c>
      <c r="BR54" s="284">
        <v>0</v>
      </c>
      <c r="BS54" s="284">
        <v>0</v>
      </c>
      <c r="BT54" s="284">
        <v>0</v>
      </c>
      <c r="BU54" s="284">
        <v>0</v>
      </c>
      <c r="BV54" s="284">
        <v>0</v>
      </c>
      <c r="BW54" s="284">
        <v>0</v>
      </c>
      <c r="BX54" s="284">
        <v>0</v>
      </c>
      <c r="BY54" s="284">
        <v>0</v>
      </c>
      <c r="BZ54" s="284">
        <v>0</v>
      </c>
      <c r="CA54" s="284">
        <v>0</v>
      </c>
      <c r="CB54" s="284">
        <v>0</v>
      </c>
      <c r="CC54" s="284">
        <v>0</v>
      </c>
      <c r="CD54" s="284">
        <v>0</v>
      </c>
      <c r="CE54" s="284">
        <v>0</v>
      </c>
      <c r="CF54" s="284">
        <v>0</v>
      </c>
      <c r="CG54" s="284">
        <v>0</v>
      </c>
      <c r="CH54" s="284">
        <v>0</v>
      </c>
      <c r="CI54" s="284">
        <v>0</v>
      </c>
      <c r="CJ54" s="284">
        <v>0</v>
      </c>
      <c r="CK54" s="284">
        <v>0</v>
      </c>
      <c r="CL54" s="284">
        <v>0</v>
      </c>
      <c r="CM54" s="284">
        <v>0</v>
      </c>
      <c r="CN54" s="284">
        <v>0</v>
      </c>
      <c r="CO54" s="284">
        <v>0</v>
      </c>
      <c r="CP54" s="284">
        <v>0</v>
      </c>
      <c r="CQ54" s="284">
        <v>0</v>
      </c>
      <c r="CR54" s="284">
        <v>0</v>
      </c>
      <c r="CS54" s="284">
        <v>0</v>
      </c>
      <c r="CT54" s="284">
        <v>0</v>
      </c>
      <c r="CU54" s="284">
        <v>1382700</v>
      </c>
      <c r="CV54" s="284">
        <v>0</v>
      </c>
      <c r="CW54" s="284">
        <v>1382700</v>
      </c>
      <c r="CX54" s="284">
        <v>1382700</v>
      </c>
      <c r="CY54" s="284">
        <v>1100000</v>
      </c>
      <c r="CZ54" s="284">
        <v>1100000</v>
      </c>
      <c r="DA54" s="284">
        <v>1100000</v>
      </c>
      <c r="DB54" s="284">
        <v>1100000</v>
      </c>
      <c r="DC54" s="284">
        <v>0</v>
      </c>
      <c r="DD54" s="284">
        <v>0</v>
      </c>
      <c r="DE54" s="284">
        <v>0</v>
      </c>
      <c r="DF54" s="284">
        <v>0</v>
      </c>
      <c r="DG54" s="284">
        <v>0</v>
      </c>
      <c r="DH54" s="284">
        <v>0</v>
      </c>
      <c r="DI54" s="284">
        <v>0</v>
      </c>
      <c r="DJ54" s="284">
        <v>0</v>
      </c>
      <c r="DK54" s="284">
        <v>0</v>
      </c>
      <c r="DL54" s="284">
        <v>0</v>
      </c>
      <c r="DM54" s="284">
        <v>0</v>
      </c>
      <c r="DN54" s="284">
        <v>0</v>
      </c>
      <c r="DO54" s="284">
        <v>0</v>
      </c>
      <c r="DP54" s="284">
        <v>0</v>
      </c>
      <c r="DQ54" s="284">
        <v>0</v>
      </c>
      <c r="DR54" s="284">
        <v>0</v>
      </c>
      <c r="DS54" s="284">
        <v>2022</v>
      </c>
      <c r="DT54" s="284">
        <v>7</v>
      </c>
      <c r="DU54" s="284">
        <v>27</v>
      </c>
      <c r="DV54" s="284" t="s">
        <v>729</v>
      </c>
      <c r="DW54" s="284" t="s">
        <v>730</v>
      </c>
      <c r="DX54" s="284" t="s">
        <v>679</v>
      </c>
    </row>
    <row r="55" spans="1:128">
      <c r="A55" s="284">
        <v>79</v>
      </c>
      <c r="B55" s="284">
        <v>38389000</v>
      </c>
      <c r="C55" s="284">
        <v>0</v>
      </c>
      <c r="D55" s="284">
        <v>0</v>
      </c>
      <c r="E55" s="284">
        <v>0</v>
      </c>
      <c r="F55" s="284">
        <v>0</v>
      </c>
      <c r="G55" s="284">
        <v>0</v>
      </c>
      <c r="H55" s="284">
        <v>0</v>
      </c>
      <c r="I55" s="284">
        <v>0</v>
      </c>
      <c r="J55" s="284">
        <v>0</v>
      </c>
      <c r="K55" s="284">
        <v>0</v>
      </c>
      <c r="L55" s="284">
        <v>0</v>
      </c>
      <c r="M55" s="284">
        <v>0</v>
      </c>
      <c r="N55" s="284">
        <v>0</v>
      </c>
      <c r="O55" s="284">
        <v>0</v>
      </c>
      <c r="P55" s="284">
        <v>0</v>
      </c>
      <c r="Q55" s="284">
        <v>0</v>
      </c>
      <c r="R55" s="284">
        <v>0</v>
      </c>
      <c r="S55" s="284">
        <v>5407610</v>
      </c>
      <c r="T55" s="284">
        <v>0</v>
      </c>
      <c r="U55" s="284">
        <v>5407610</v>
      </c>
      <c r="V55" s="284">
        <v>5407610</v>
      </c>
      <c r="W55" s="284">
        <v>23058000</v>
      </c>
      <c r="X55" s="284">
        <v>5407610</v>
      </c>
      <c r="Y55" s="284">
        <v>5407610</v>
      </c>
      <c r="Z55" s="284">
        <v>5407000</v>
      </c>
      <c r="AA55" s="284">
        <v>0</v>
      </c>
      <c r="AB55" s="284">
        <v>0</v>
      </c>
      <c r="AC55" s="284">
        <v>0</v>
      </c>
      <c r="AD55" s="284">
        <v>0</v>
      </c>
      <c r="AE55" s="284">
        <v>0</v>
      </c>
      <c r="AF55" s="284">
        <v>0</v>
      </c>
      <c r="AG55" s="284">
        <v>0</v>
      </c>
      <c r="AH55" s="284">
        <v>0</v>
      </c>
      <c r="AI55" s="284">
        <v>0</v>
      </c>
      <c r="AJ55" s="284">
        <v>0</v>
      </c>
      <c r="AK55" s="284">
        <v>0</v>
      </c>
      <c r="AL55" s="284">
        <v>0</v>
      </c>
      <c r="AM55" s="284">
        <v>0</v>
      </c>
      <c r="AN55" s="284">
        <v>0</v>
      </c>
      <c r="AO55" s="284">
        <v>0</v>
      </c>
      <c r="AP55" s="284">
        <v>0</v>
      </c>
      <c r="AQ55" s="284">
        <v>32982926</v>
      </c>
      <c r="AR55" s="284">
        <v>0</v>
      </c>
      <c r="AS55" s="284">
        <v>32982926</v>
      </c>
      <c r="AT55" s="284">
        <v>32982926</v>
      </c>
      <c r="AU55" s="284">
        <v>32982926</v>
      </c>
      <c r="AV55" s="284">
        <v>32982926</v>
      </c>
      <c r="AW55" s="284">
        <v>32982926</v>
      </c>
      <c r="AX55" s="284">
        <v>32982000</v>
      </c>
      <c r="AY55" s="284">
        <v>0</v>
      </c>
      <c r="AZ55" s="284">
        <v>0</v>
      </c>
      <c r="BA55" s="284">
        <v>0</v>
      </c>
      <c r="BB55" s="284">
        <v>0</v>
      </c>
      <c r="BC55" s="284">
        <v>0</v>
      </c>
      <c r="BD55" s="284">
        <v>0</v>
      </c>
      <c r="BE55" s="284">
        <v>0</v>
      </c>
      <c r="BF55" s="284">
        <v>0</v>
      </c>
      <c r="BG55" s="284">
        <v>0</v>
      </c>
      <c r="BH55" s="284">
        <v>0</v>
      </c>
      <c r="BI55" s="284">
        <v>0</v>
      </c>
      <c r="BJ55" s="284">
        <v>0</v>
      </c>
      <c r="BK55" s="284">
        <v>0</v>
      </c>
      <c r="BL55" s="284">
        <v>0</v>
      </c>
      <c r="BM55" s="284">
        <v>0</v>
      </c>
      <c r="BN55" s="284">
        <v>0</v>
      </c>
      <c r="BO55" s="284">
        <v>0</v>
      </c>
      <c r="BP55" s="284">
        <v>0</v>
      </c>
      <c r="BQ55" s="284">
        <v>0</v>
      </c>
      <c r="BR55" s="284">
        <v>0</v>
      </c>
      <c r="BS55" s="284">
        <v>0</v>
      </c>
      <c r="BT55" s="284">
        <v>0</v>
      </c>
      <c r="BU55" s="284">
        <v>0</v>
      </c>
      <c r="BV55" s="284">
        <v>0</v>
      </c>
      <c r="BW55" s="284">
        <v>0</v>
      </c>
      <c r="BX55" s="284">
        <v>0</v>
      </c>
      <c r="BY55" s="284">
        <v>0</v>
      </c>
      <c r="BZ55" s="284">
        <v>0</v>
      </c>
      <c r="CA55" s="284">
        <v>0</v>
      </c>
      <c r="CB55" s="284">
        <v>0</v>
      </c>
      <c r="CC55" s="284">
        <v>0</v>
      </c>
      <c r="CD55" s="284">
        <v>0</v>
      </c>
      <c r="CE55" s="284">
        <v>0</v>
      </c>
      <c r="CF55" s="284">
        <v>0</v>
      </c>
      <c r="CG55" s="284">
        <v>0</v>
      </c>
      <c r="CH55" s="284">
        <v>0</v>
      </c>
      <c r="CI55" s="284">
        <v>0</v>
      </c>
      <c r="CJ55" s="284">
        <v>0</v>
      </c>
      <c r="CK55" s="284">
        <v>0</v>
      </c>
      <c r="CL55" s="284">
        <v>0</v>
      </c>
      <c r="CM55" s="284">
        <v>0</v>
      </c>
      <c r="CN55" s="284">
        <v>0</v>
      </c>
      <c r="CO55" s="284">
        <v>0</v>
      </c>
      <c r="CP55" s="284">
        <v>0</v>
      </c>
      <c r="CQ55" s="284">
        <v>0</v>
      </c>
      <c r="CR55" s="284">
        <v>0</v>
      </c>
      <c r="CS55" s="284">
        <v>0</v>
      </c>
      <c r="CT55" s="284">
        <v>0</v>
      </c>
      <c r="CU55" s="284">
        <v>0</v>
      </c>
      <c r="CV55" s="284">
        <v>0</v>
      </c>
      <c r="CW55" s="284">
        <v>0</v>
      </c>
      <c r="CX55" s="284">
        <v>0</v>
      </c>
      <c r="CY55" s="284">
        <v>0</v>
      </c>
      <c r="CZ55" s="284">
        <v>0</v>
      </c>
      <c r="DA55" s="284">
        <v>0</v>
      </c>
      <c r="DB55" s="284">
        <v>0</v>
      </c>
      <c r="DC55" s="284">
        <v>0</v>
      </c>
      <c r="DD55" s="284">
        <v>0</v>
      </c>
      <c r="DE55" s="284">
        <v>0</v>
      </c>
      <c r="DF55" s="284">
        <v>0</v>
      </c>
      <c r="DG55" s="284">
        <v>0</v>
      </c>
      <c r="DH55" s="284">
        <v>0</v>
      </c>
      <c r="DI55" s="284">
        <v>0</v>
      </c>
      <c r="DJ55" s="284">
        <v>0</v>
      </c>
      <c r="DK55" s="284">
        <v>0</v>
      </c>
      <c r="DL55" s="284">
        <v>0</v>
      </c>
      <c r="DM55" s="284">
        <v>0</v>
      </c>
      <c r="DN55" s="284">
        <v>0</v>
      </c>
      <c r="DO55" s="284">
        <v>0</v>
      </c>
      <c r="DP55" s="284">
        <v>0</v>
      </c>
      <c r="DQ55" s="284">
        <v>0</v>
      </c>
      <c r="DR55" s="284">
        <v>0</v>
      </c>
      <c r="DS55" s="284">
        <v>2022</v>
      </c>
      <c r="DT55" s="284">
        <v>7</v>
      </c>
      <c r="DU55" s="284">
        <v>27</v>
      </c>
      <c r="DV55" s="284" t="s">
        <v>682</v>
      </c>
      <c r="DW55" s="284" t="s">
        <v>731</v>
      </c>
      <c r="DX55" s="284" t="s">
        <v>699</v>
      </c>
    </row>
    <row r="56" spans="1:128">
      <c r="A56" s="284">
        <v>80</v>
      </c>
      <c r="B56" s="284">
        <v>3840000</v>
      </c>
      <c r="C56" s="284">
        <v>0</v>
      </c>
      <c r="D56" s="284">
        <v>0</v>
      </c>
      <c r="E56" s="284">
        <v>0</v>
      </c>
      <c r="F56" s="284">
        <v>0</v>
      </c>
      <c r="G56" s="284">
        <v>0</v>
      </c>
      <c r="H56" s="284">
        <v>0</v>
      </c>
      <c r="I56" s="284">
        <v>0</v>
      </c>
      <c r="J56" s="284">
        <v>0</v>
      </c>
      <c r="K56" s="284">
        <v>0</v>
      </c>
      <c r="L56" s="284">
        <v>0</v>
      </c>
      <c r="M56" s="284">
        <v>0</v>
      </c>
      <c r="N56" s="284">
        <v>0</v>
      </c>
      <c r="O56" s="284">
        <v>0</v>
      </c>
      <c r="P56" s="284">
        <v>0</v>
      </c>
      <c r="Q56" s="284">
        <v>0</v>
      </c>
      <c r="R56" s="284">
        <v>0</v>
      </c>
      <c r="S56" s="284">
        <v>2740985</v>
      </c>
      <c r="T56" s="284">
        <v>0</v>
      </c>
      <c r="U56" s="284">
        <v>2740985</v>
      </c>
      <c r="V56" s="284">
        <v>2740985</v>
      </c>
      <c r="W56" s="284">
        <v>17787600</v>
      </c>
      <c r="X56" s="284">
        <v>2740985</v>
      </c>
      <c r="Y56" s="284">
        <v>2740985</v>
      </c>
      <c r="Z56" s="284">
        <v>2740000</v>
      </c>
      <c r="AA56" s="284">
        <v>0</v>
      </c>
      <c r="AB56" s="284">
        <v>0</v>
      </c>
      <c r="AC56" s="284">
        <v>0</v>
      </c>
      <c r="AD56" s="284">
        <v>0</v>
      </c>
      <c r="AE56" s="284">
        <v>0</v>
      </c>
      <c r="AF56" s="284">
        <v>0</v>
      </c>
      <c r="AG56" s="284">
        <v>0</v>
      </c>
      <c r="AH56" s="284">
        <v>0</v>
      </c>
      <c r="AI56" s="284">
        <v>0</v>
      </c>
      <c r="AJ56" s="284">
        <v>0</v>
      </c>
      <c r="AK56" s="284">
        <v>0</v>
      </c>
      <c r="AL56" s="284">
        <v>0</v>
      </c>
      <c r="AM56" s="284">
        <v>0</v>
      </c>
      <c r="AN56" s="284">
        <v>0</v>
      </c>
      <c r="AO56" s="284">
        <v>0</v>
      </c>
      <c r="AP56" s="284">
        <v>0</v>
      </c>
      <c r="AQ56" s="284">
        <v>0</v>
      </c>
      <c r="AR56" s="284">
        <v>0</v>
      </c>
      <c r="AS56" s="284">
        <v>0</v>
      </c>
      <c r="AT56" s="284">
        <v>0</v>
      </c>
      <c r="AU56" s="284">
        <v>0</v>
      </c>
      <c r="AV56" s="284">
        <v>0</v>
      </c>
      <c r="AW56" s="284">
        <v>0</v>
      </c>
      <c r="AX56" s="284">
        <v>0</v>
      </c>
      <c r="AY56" s="284">
        <v>0</v>
      </c>
      <c r="AZ56" s="284">
        <v>0</v>
      </c>
      <c r="BA56" s="284">
        <v>0</v>
      </c>
      <c r="BB56" s="284">
        <v>0</v>
      </c>
      <c r="BC56" s="284">
        <v>0</v>
      </c>
      <c r="BD56" s="284">
        <v>0</v>
      </c>
      <c r="BE56" s="284">
        <v>0</v>
      </c>
      <c r="BF56" s="284">
        <v>0</v>
      </c>
      <c r="BG56" s="284">
        <v>0</v>
      </c>
      <c r="BH56" s="284">
        <v>0</v>
      </c>
      <c r="BI56" s="284">
        <v>0</v>
      </c>
      <c r="BJ56" s="284">
        <v>0</v>
      </c>
      <c r="BK56" s="284">
        <v>0</v>
      </c>
      <c r="BL56" s="284">
        <v>0</v>
      </c>
      <c r="BM56" s="284">
        <v>0</v>
      </c>
      <c r="BN56" s="284">
        <v>0</v>
      </c>
      <c r="BO56" s="284">
        <v>0</v>
      </c>
      <c r="BP56" s="284">
        <v>0</v>
      </c>
      <c r="BQ56" s="284">
        <v>0</v>
      </c>
      <c r="BR56" s="284">
        <v>0</v>
      </c>
      <c r="BS56" s="284">
        <v>0</v>
      </c>
      <c r="BT56" s="284">
        <v>0</v>
      </c>
      <c r="BU56" s="284">
        <v>0</v>
      </c>
      <c r="BV56" s="284">
        <v>0</v>
      </c>
      <c r="BW56" s="284">
        <v>0</v>
      </c>
      <c r="BX56" s="284">
        <v>0</v>
      </c>
      <c r="BY56" s="284">
        <v>0</v>
      </c>
      <c r="BZ56" s="284">
        <v>0</v>
      </c>
      <c r="CA56" s="284">
        <v>0</v>
      </c>
      <c r="CB56" s="284">
        <v>0</v>
      </c>
      <c r="CC56" s="284">
        <v>0</v>
      </c>
      <c r="CD56" s="284">
        <v>0</v>
      </c>
      <c r="CE56" s="284">
        <v>0</v>
      </c>
      <c r="CF56" s="284">
        <v>0</v>
      </c>
      <c r="CG56" s="284">
        <v>0</v>
      </c>
      <c r="CH56" s="284">
        <v>0</v>
      </c>
      <c r="CI56" s="284">
        <v>0</v>
      </c>
      <c r="CJ56" s="284">
        <v>0</v>
      </c>
      <c r="CK56" s="284">
        <v>0</v>
      </c>
      <c r="CL56" s="284">
        <v>0</v>
      </c>
      <c r="CM56" s="284">
        <v>0</v>
      </c>
      <c r="CN56" s="284">
        <v>0</v>
      </c>
      <c r="CO56" s="284">
        <v>0</v>
      </c>
      <c r="CP56" s="284">
        <v>0</v>
      </c>
      <c r="CQ56" s="284">
        <v>0</v>
      </c>
      <c r="CR56" s="284">
        <v>0</v>
      </c>
      <c r="CS56" s="284">
        <v>0</v>
      </c>
      <c r="CT56" s="284">
        <v>0</v>
      </c>
      <c r="CU56" s="284">
        <v>1100000</v>
      </c>
      <c r="CV56" s="284">
        <v>0</v>
      </c>
      <c r="CW56" s="284">
        <v>1100000</v>
      </c>
      <c r="CX56" s="284">
        <v>1100000</v>
      </c>
      <c r="CY56" s="284">
        <v>1100000</v>
      </c>
      <c r="CZ56" s="284">
        <v>1100000</v>
      </c>
      <c r="DA56" s="284">
        <v>1100000</v>
      </c>
      <c r="DB56" s="284">
        <v>1100000</v>
      </c>
      <c r="DC56" s="284">
        <v>0</v>
      </c>
      <c r="DD56" s="284">
        <v>0</v>
      </c>
      <c r="DE56" s="284">
        <v>0</v>
      </c>
      <c r="DF56" s="284">
        <v>0</v>
      </c>
      <c r="DG56" s="284">
        <v>0</v>
      </c>
      <c r="DH56" s="284">
        <v>0</v>
      </c>
      <c r="DI56" s="284">
        <v>0</v>
      </c>
      <c r="DJ56" s="284">
        <v>0</v>
      </c>
      <c r="DK56" s="284">
        <v>0</v>
      </c>
      <c r="DL56" s="284">
        <v>0</v>
      </c>
      <c r="DM56" s="284">
        <v>0</v>
      </c>
      <c r="DN56" s="284">
        <v>0</v>
      </c>
      <c r="DO56" s="284">
        <v>0</v>
      </c>
      <c r="DP56" s="284">
        <v>0</v>
      </c>
      <c r="DQ56" s="284">
        <v>0</v>
      </c>
      <c r="DR56" s="284">
        <v>0</v>
      </c>
      <c r="DS56" s="284">
        <v>2022</v>
      </c>
      <c r="DT56" s="284">
        <v>7</v>
      </c>
      <c r="DU56" s="284">
        <v>27</v>
      </c>
      <c r="DV56" s="284" t="s">
        <v>732</v>
      </c>
      <c r="DW56" s="284" t="s">
        <v>715</v>
      </c>
      <c r="DX56" s="284" t="s">
        <v>679</v>
      </c>
    </row>
    <row r="57" spans="1:128">
      <c r="A57" s="284">
        <v>81</v>
      </c>
      <c r="B57" s="284">
        <v>21247000</v>
      </c>
      <c r="C57" s="284">
        <v>0</v>
      </c>
      <c r="D57" s="284">
        <v>0</v>
      </c>
      <c r="E57" s="284">
        <v>0</v>
      </c>
      <c r="F57" s="284">
        <v>0</v>
      </c>
      <c r="G57" s="284">
        <v>0</v>
      </c>
      <c r="H57" s="284">
        <v>0</v>
      </c>
      <c r="I57" s="284">
        <v>0</v>
      </c>
      <c r="J57" s="284">
        <v>0</v>
      </c>
      <c r="K57" s="284">
        <v>0</v>
      </c>
      <c r="L57" s="284">
        <v>0</v>
      </c>
      <c r="M57" s="284">
        <v>0</v>
      </c>
      <c r="N57" s="284">
        <v>0</v>
      </c>
      <c r="O57" s="284">
        <v>0</v>
      </c>
      <c r="P57" s="284">
        <v>0</v>
      </c>
      <c r="Q57" s="284">
        <v>0</v>
      </c>
      <c r="R57" s="284">
        <v>0</v>
      </c>
      <c r="S57" s="284">
        <v>2255463</v>
      </c>
      <c r="T57" s="284">
        <v>0</v>
      </c>
      <c r="U57" s="284">
        <v>2255463</v>
      </c>
      <c r="V57" s="284">
        <v>2255463</v>
      </c>
      <c r="W57" s="284">
        <v>6588000</v>
      </c>
      <c r="X57" s="284">
        <v>2255463</v>
      </c>
      <c r="Y57" s="284">
        <v>2255463</v>
      </c>
      <c r="Z57" s="284">
        <v>2255000</v>
      </c>
      <c r="AA57" s="284">
        <v>0</v>
      </c>
      <c r="AB57" s="284">
        <v>0</v>
      </c>
      <c r="AC57" s="284">
        <v>0</v>
      </c>
      <c r="AD57" s="284">
        <v>0</v>
      </c>
      <c r="AE57" s="284">
        <v>0</v>
      </c>
      <c r="AF57" s="284">
        <v>0</v>
      </c>
      <c r="AG57" s="284">
        <v>0</v>
      </c>
      <c r="AH57" s="284">
        <v>0</v>
      </c>
      <c r="AI57" s="284">
        <v>0</v>
      </c>
      <c r="AJ57" s="284">
        <v>0</v>
      </c>
      <c r="AK57" s="284">
        <v>0</v>
      </c>
      <c r="AL57" s="284">
        <v>0</v>
      </c>
      <c r="AM57" s="284">
        <v>0</v>
      </c>
      <c r="AN57" s="284">
        <v>0</v>
      </c>
      <c r="AO57" s="284">
        <v>0</v>
      </c>
      <c r="AP57" s="284">
        <v>0</v>
      </c>
      <c r="AQ57" s="284">
        <v>0</v>
      </c>
      <c r="AR57" s="284">
        <v>0</v>
      </c>
      <c r="AS57" s="284">
        <v>0</v>
      </c>
      <c r="AT57" s="284">
        <v>0</v>
      </c>
      <c r="AU57" s="284">
        <v>0</v>
      </c>
      <c r="AV57" s="284">
        <v>0</v>
      </c>
      <c r="AW57" s="284">
        <v>0</v>
      </c>
      <c r="AX57" s="284">
        <v>0</v>
      </c>
      <c r="AY57" s="284">
        <v>0</v>
      </c>
      <c r="AZ57" s="284">
        <v>0</v>
      </c>
      <c r="BA57" s="284">
        <v>0</v>
      </c>
      <c r="BB57" s="284">
        <v>0</v>
      </c>
      <c r="BC57" s="284">
        <v>0</v>
      </c>
      <c r="BD57" s="284">
        <v>0</v>
      </c>
      <c r="BE57" s="284">
        <v>0</v>
      </c>
      <c r="BF57" s="284">
        <v>0</v>
      </c>
      <c r="BG57" s="284">
        <v>0</v>
      </c>
      <c r="BH57" s="284">
        <v>0</v>
      </c>
      <c r="BI57" s="284">
        <v>0</v>
      </c>
      <c r="BJ57" s="284">
        <v>0</v>
      </c>
      <c r="BK57" s="284">
        <v>0</v>
      </c>
      <c r="BL57" s="284">
        <v>0</v>
      </c>
      <c r="BM57" s="284">
        <v>0</v>
      </c>
      <c r="BN57" s="284">
        <v>0</v>
      </c>
      <c r="BO57" s="284">
        <v>10538000</v>
      </c>
      <c r="BP57" s="284">
        <v>0</v>
      </c>
      <c r="BQ57" s="284">
        <v>10538000</v>
      </c>
      <c r="BR57" s="284">
        <v>10538000</v>
      </c>
      <c r="BS57" s="284">
        <v>11000000</v>
      </c>
      <c r="BT57" s="284">
        <v>10538000</v>
      </c>
      <c r="BU57" s="284">
        <v>10538000</v>
      </c>
      <c r="BV57" s="284">
        <v>10538000</v>
      </c>
      <c r="BW57" s="284">
        <v>0</v>
      </c>
      <c r="BX57" s="284">
        <v>0</v>
      </c>
      <c r="BY57" s="284">
        <v>0</v>
      </c>
      <c r="BZ57" s="284">
        <v>0</v>
      </c>
      <c r="CA57" s="284">
        <v>0</v>
      </c>
      <c r="CB57" s="284">
        <v>0</v>
      </c>
      <c r="CC57" s="284">
        <v>0</v>
      </c>
      <c r="CD57" s="284">
        <v>0</v>
      </c>
      <c r="CE57" s="284">
        <v>0</v>
      </c>
      <c r="CF57" s="284">
        <v>0</v>
      </c>
      <c r="CG57" s="284">
        <v>0</v>
      </c>
      <c r="CH57" s="284">
        <v>0</v>
      </c>
      <c r="CI57" s="284">
        <v>0</v>
      </c>
      <c r="CJ57" s="284">
        <v>0</v>
      </c>
      <c r="CK57" s="284">
        <v>0</v>
      </c>
      <c r="CL57" s="284">
        <v>0</v>
      </c>
      <c r="CM57" s="284">
        <v>0</v>
      </c>
      <c r="CN57" s="284">
        <v>0</v>
      </c>
      <c r="CO57" s="284">
        <v>0</v>
      </c>
      <c r="CP57" s="284">
        <v>0</v>
      </c>
      <c r="CQ57" s="284">
        <v>0</v>
      </c>
      <c r="CR57" s="284">
        <v>0</v>
      </c>
      <c r="CS57" s="284">
        <v>0</v>
      </c>
      <c r="CT57" s="284">
        <v>0</v>
      </c>
      <c r="CU57" s="284">
        <v>8752000</v>
      </c>
      <c r="CV57" s="284">
        <v>0</v>
      </c>
      <c r="CW57" s="284">
        <v>8752000</v>
      </c>
      <c r="CX57" s="284">
        <v>8752000</v>
      </c>
      <c r="CY57" s="284">
        <v>8800000</v>
      </c>
      <c r="CZ57" s="284">
        <v>8454710</v>
      </c>
      <c r="DA57" s="284">
        <v>8454710</v>
      </c>
      <c r="DB57" s="284">
        <v>8454000</v>
      </c>
      <c r="DC57" s="284">
        <v>0</v>
      </c>
      <c r="DD57" s="284">
        <v>0</v>
      </c>
      <c r="DE57" s="284">
        <v>0</v>
      </c>
      <c r="DF57" s="284">
        <v>0</v>
      </c>
      <c r="DG57" s="284">
        <v>0</v>
      </c>
      <c r="DH57" s="284">
        <v>0</v>
      </c>
      <c r="DI57" s="284">
        <v>0</v>
      </c>
      <c r="DJ57" s="284">
        <v>0</v>
      </c>
      <c r="DK57" s="284">
        <v>0</v>
      </c>
      <c r="DL57" s="284">
        <v>0</v>
      </c>
      <c r="DM57" s="284">
        <v>0</v>
      </c>
      <c r="DN57" s="284">
        <v>0</v>
      </c>
      <c r="DO57" s="284">
        <v>0</v>
      </c>
      <c r="DP57" s="284">
        <v>0</v>
      </c>
      <c r="DQ57" s="284">
        <v>0</v>
      </c>
      <c r="DR57" s="284">
        <v>0</v>
      </c>
      <c r="DS57" s="284">
        <v>2022</v>
      </c>
      <c r="DT57" s="284">
        <v>7</v>
      </c>
      <c r="DU57" s="284">
        <v>27</v>
      </c>
      <c r="DV57" s="284" t="s">
        <v>733</v>
      </c>
      <c r="DW57" s="284" t="s">
        <v>708</v>
      </c>
      <c r="DX57" s="284" t="s">
        <v>679</v>
      </c>
    </row>
    <row r="58" spans="1:128">
      <c r="A58" s="284">
        <v>82</v>
      </c>
      <c r="B58" s="284">
        <v>14509000</v>
      </c>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4"/>
      <c r="BQ58" s="284"/>
      <c r="BR58" s="284"/>
      <c r="BS58" s="284"/>
      <c r="BT58" s="284"/>
      <c r="BU58" s="284"/>
      <c r="BV58" s="284"/>
      <c r="BW58" s="284"/>
      <c r="BX58" s="284"/>
      <c r="BY58" s="284"/>
      <c r="BZ58" s="284"/>
      <c r="CA58" s="284"/>
      <c r="CB58" s="284"/>
      <c r="CC58" s="284"/>
      <c r="CD58" s="284"/>
      <c r="CE58" s="284"/>
      <c r="CF58" s="284"/>
      <c r="CG58" s="284"/>
      <c r="CH58" s="284"/>
      <c r="CI58" s="284"/>
      <c r="CJ58" s="284"/>
      <c r="CK58" s="284"/>
      <c r="CL58" s="284"/>
      <c r="CM58" s="284"/>
      <c r="CN58" s="284"/>
      <c r="CO58" s="284"/>
      <c r="CP58" s="284"/>
      <c r="CQ58" s="284"/>
      <c r="CR58" s="284"/>
      <c r="CS58" s="284"/>
      <c r="CT58" s="284"/>
      <c r="CU58" s="284"/>
      <c r="CV58" s="284"/>
      <c r="CW58" s="284"/>
      <c r="CX58" s="284"/>
      <c r="CY58" s="284"/>
      <c r="CZ58" s="284"/>
      <c r="DA58" s="284"/>
      <c r="DB58" s="284"/>
      <c r="DC58" s="284"/>
      <c r="DD58" s="284"/>
      <c r="DE58" s="284"/>
      <c r="DF58" s="284"/>
      <c r="DG58" s="284"/>
      <c r="DH58" s="284"/>
      <c r="DI58" s="284"/>
      <c r="DJ58" s="284"/>
      <c r="DK58" s="284"/>
      <c r="DL58" s="284"/>
      <c r="DM58" s="284"/>
      <c r="DN58" s="284"/>
      <c r="DO58" s="284"/>
      <c r="DP58" s="284"/>
      <c r="DQ58" s="284"/>
      <c r="DR58" s="284"/>
      <c r="DS58" s="284">
        <v>2022</v>
      </c>
      <c r="DT58" s="284">
        <v>9</v>
      </c>
      <c r="DU58" s="284">
        <v>22</v>
      </c>
      <c r="DV58" s="284" t="s">
        <v>734</v>
      </c>
      <c r="DW58" s="284" t="s">
        <v>735</v>
      </c>
      <c r="DX58" s="284" t="s">
        <v>679</v>
      </c>
    </row>
    <row r="59" spans="1:128">
      <c r="A59" s="284">
        <v>83</v>
      </c>
      <c r="B59" s="284">
        <v>5500000</v>
      </c>
      <c r="C59" s="284">
        <v>0</v>
      </c>
      <c r="D59" s="284">
        <v>0</v>
      </c>
      <c r="E59" s="284">
        <v>0</v>
      </c>
      <c r="F59" s="284">
        <v>0</v>
      </c>
      <c r="G59" s="284">
        <v>0</v>
      </c>
      <c r="H59" s="284">
        <v>0</v>
      </c>
      <c r="I59" s="284">
        <v>0</v>
      </c>
      <c r="J59" s="284">
        <v>0</v>
      </c>
      <c r="K59" s="284">
        <v>0</v>
      </c>
      <c r="L59" s="284">
        <v>0</v>
      </c>
      <c r="M59" s="284">
        <v>0</v>
      </c>
      <c r="N59" s="284">
        <v>0</v>
      </c>
      <c r="O59" s="284">
        <v>0</v>
      </c>
      <c r="P59" s="284">
        <v>0</v>
      </c>
      <c r="Q59" s="284">
        <v>0</v>
      </c>
      <c r="R59" s="284">
        <v>0</v>
      </c>
      <c r="S59" s="284">
        <v>0</v>
      </c>
      <c r="T59" s="284">
        <v>0</v>
      </c>
      <c r="U59" s="284">
        <v>0</v>
      </c>
      <c r="V59" s="284">
        <v>0</v>
      </c>
      <c r="W59" s="284">
        <v>0</v>
      </c>
      <c r="X59" s="284">
        <v>0</v>
      </c>
      <c r="Y59" s="284">
        <v>0</v>
      </c>
      <c r="Z59" s="284">
        <v>0</v>
      </c>
      <c r="AA59" s="284">
        <v>0</v>
      </c>
      <c r="AB59" s="284">
        <v>0</v>
      </c>
      <c r="AC59" s="284">
        <v>0</v>
      </c>
      <c r="AD59" s="284">
        <v>0</v>
      </c>
      <c r="AE59" s="284">
        <v>0</v>
      </c>
      <c r="AF59" s="284">
        <v>0</v>
      </c>
      <c r="AG59" s="284">
        <v>0</v>
      </c>
      <c r="AH59" s="284">
        <v>0</v>
      </c>
      <c r="AI59" s="284">
        <v>0</v>
      </c>
      <c r="AJ59" s="284">
        <v>0</v>
      </c>
      <c r="AK59" s="284">
        <v>0</v>
      </c>
      <c r="AL59" s="284">
        <v>0</v>
      </c>
      <c r="AM59" s="284">
        <v>0</v>
      </c>
      <c r="AN59" s="284">
        <v>0</v>
      </c>
      <c r="AO59" s="284">
        <v>0</v>
      </c>
      <c r="AP59" s="284">
        <v>0</v>
      </c>
      <c r="AQ59" s="284">
        <v>0</v>
      </c>
      <c r="AR59" s="284">
        <v>0</v>
      </c>
      <c r="AS59" s="284">
        <v>0</v>
      </c>
      <c r="AT59" s="284">
        <v>0</v>
      </c>
      <c r="AU59" s="284">
        <v>0</v>
      </c>
      <c r="AV59" s="284">
        <v>0</v>
      </c>
      <c r="AW59" s="284">
        <v>0</v>
      </c>
      <c r="AX59" s="284">
        <v>0</v>
      </c>
      <c r="AY59" s="284">
        <v>0</v>
      </c>
      <c r="AZ59" s="284">
        <v>0</v>
      </c>
      <c r="BA59" s="284">
        <v>0</v>
      </c>
      <c r="BB59" s="284">
        <v>0</v>
      </c>
      <c r="BC59" s="284">
        <v>0</v>
      </c>
      <c r="BD59" s="284">
        <v>0</v>
      </c>
      <c r="BE59" s="284">
        <v>0</v>
      </c>
      <c r="BF59" s="284">
        <v>0</v>
      </c>
      <c r="BG59" s="284">
        <v>0</v>
      </c>
      <c r="BH59" s="284">
        <v>0</v>
      </c>
      <c r="BI59" s="284">
        <v>0</v>
      </c>
      <c r="BJ59" s="284">
        <v>0</v>
      </c>
      <c r="BK59" s="284">
        <v>0</v>
      </c>
      <c r="BL59" s="284">
        <v>0</v>
      </c>
      <c r="BM59" s="284">
        <v>0</v>
      </c>
      <c r="BN59" s="284">
        <v>0</v>
      </c>
      <c r="BO59" s="284">
        <v>5500000</v>
      </c>
      <c r="BP59" s="284">
        <v>0</v>
      </c>
      <c r="BQ59" s="284">
        <v>5500000</v>
      </c>
      <c r="BR59" s="284">
        <v>5500000</v>
      </c>
      <c r="BS59" s="284">
        <v>11000000</v>
      </c>
      <c r="BT59" s="284">
        <v>5500000</v>
      </c>
      <c r="BU59" s="284">
        <v>5500000</v>
      </c>
      <c r="BV59" s="284">
        <v>5500000</v>
      </c>
      <c r="BW59" s="284">
        <v>0</v>
      </c>
      <c r="BX59" s="284">
        <v>0</v>
      </c>
      <c r="BY59" s="284">
        <v>0</v>
      </c>
      <c r="BZ59" s="284">
        <v>0</v>
      </c>
      <c r="CA59" s="284">
        <v>0</v>
      </c>
      <c r="CB59" s="284">
        <v>0</v>
      </c>
      <c r="CC59" s="284">
        <v>0</v>
      </c>
      <c r="CD59" s="284">
        <v>0</v>
      </c>
      <c r="CE59" s="284">
        <v>0</v>
      </c>
      <c r="CF59" s="284">
        <v>0</v>
      </c>
      <c r="CG59" s="284">
        <v>0</v>
      </c>
      <c r="CH59" s="284">
        <v>0</v>
      </c>
      <c r="CI59" s="284">
        <v>0</v>
      </c>
      <c r="CJ59" s="284">
        <v>0</v>
      </c>
      <c r="CK59" s="284">
        <v>0</v>
      </c>
      <c r="CL59" s="284">
        <v>0</v>
      </c>
      <c r="CM59" s="284">
        <v>0</v>
      </c>
      <c r="CN59" s="284">
        <v>0</v>
      </c>
      <c r="CO59" s="284">
        <v>0</v>
      </c>
      <c r="CP59" s="284">
        <v>0</v>
      </c>
      <c r="CQ59" s="284">
        <v>0</v>
      </c>
      <c r="CR59" s="284">
        <v>0</v>
      </c>
      <c r="CS59" s="284">
        <v>0</v>
      </c>
      <c r="CT59" s="284">
        <v>0</v>
      </c>
      <c r="CU59" s="284">
        <v>0</v>
      </c>
      <c r="CV59" s="284">
        <v>0</v>
      </c>
      <c r="CW59" s="284">
        <v>0</v>
      </c>
      <c r="CX59" s="284">
        <v>0</v>
      </c>
      <c r="CY59" s="284">
        <v>0</v>
      </c>
      <c r="CZ59" s="284">
        <v>0</v>
      </c>
      <c r="DA59" s="284">
        <v>0</v>
      </c>
      <c r="DB59" s="284">
        <v>0</v>
      </c>
      <c r="DC59" s="284">
        <v>0</v>
      </c>
      <c r="DD59" s="284">
        <v>0</v>
      </c>
      <c r="DE59" s="284">
        <v>0</v>
      </c>
      <c r="DF59" s="284">
        <v>0</v>
      </c>
      <c r="DG59" s="284">
        <v>0</v>
      </c>
      <c r="DH59" s="284">
        <v>0</v>
      </c>
      <c r="DI59" s="284">
        <v>0</v>
      </c>
      <c r="DJ59" s="284">
        <v>0</v>
      </c>
      <c r="DK59" s="284">
        <v>0</v>
      </c>
      <c r="DL59" s="284">
        <v>0</v>
      </c>
      <c r="DM59" s="284">
        <v>0</v>
      </c>
      <c r="DN59" s="284">
        <v>0</v>
      </c>
      <c r="DO59" s="284">
        <v>0</v>
      </c>
      <c r="DP59" s="284">
        <v>0</v>
      </c>
      <c r="DQ59" s="284">
        <v>0</v>
      </c>
      <c r="DR59" s="284">
        <v>0</v>
      </c>
      <c r="DS59" s="284">
        <v>2022</v>
      </c>
      <c r="DT59" s="284">
        <v>7</v>
      </c>
      <c r="DU59" s="284">
        <v>27</v>
      </c>
      <c r="DV59" s="284" t="s">
        <v>682</v>
      </c>
      <c r="DW59" s="284" t="s">
        <v>736</v>
      </c>
      <c r="DX59" s="284" t="s">
        <v>679</v>
      </c>
    </row>
    <row r="60" spans="1:128">
      <c r="A60" s="284">
        <v>84</v>
      </c>
      <c r="B60" s="284">
        <v>22904000</v>
      </c>
      <c r="C60" s="284">
        <v>0</v>
      </c>
      <c r="D60" s="284">
        <v>0</v>
      </c>
      <c r="E60" s="284">
        <v>0</v>
      </c>
      <c r="F60" s="284">
        <v>0</v>
      </c>
      <c r="G60" s="284">
        <v>0</v>
      </c>
      <c r="H60" s="284">
        <v>0</v>
      </c>
      <c r="I60" s="284">
        <v>0</v>
      </c>
      <c r="J60" s="284">
        <v>0</v>
      </c>
      <c r="K60" s="284">
        <v>4400000</v>
      </c>
      <c r="L60" s="284">
        <v>0</v>
      </c>
      <c r="M60" s="284">
        <v>4400000</v>
      </c>
      <c r="N60" s="284">
        <v>4400000</v>
      </c>
      <c r="O60" s="284">
        <v>4400000</v>
      </c>
      <c r="P60" s="284">
        <v>4400000</v>
      </c>
      <c r="Q60" s="284">
        <v>4400000</v>
      </c>
      <c r="R60" s="284">
        <v>4400000</v>
      </c>
      <c r="S60" s="284">
        <v>4094860</v>
      </c>
      <c r="T60" s="284">
        <v>0</v>
      </c>
      <c r="U60" s="284">
        <v>4094860</v>
      </c>
      <c r="V60" s="284">
        <v>4094860</v>
      </c>
      <c r="W60" s="284">
        <v>30304800</v>
      </c>
      <c r="X60" s="284">
        <v>4094860</v>
      </c>
      <c r="Y60" s="284">
        <v>4094860</v>
      </c>
      <c r="Z60" s="284">
        <v>4094000</v>
      </c>
      <c r="AA60" s="284">
        <v>0</v>
      </c>
      <c r="AB60" s="284">
        <v>0</v>
      </c>
      <c r="AC60" s="284">
        <v>0</v>
      </c>
      <c r="AD60" s="284">
        <v>0</v>
      </c>
      <c r="AE60" s="284">
        <v>0</v>
      </c>
      <c r="AF60" s="284">
        <v>0</v>
      </c>
      <c r="AG60" s="284">
        <v>0</v>
      </c>
      <c r="AH60" s="284">
        <v>0</v>
      </c>
      <c r="AI60" s="284">
        <v>0</v>
      </c>
      <c r="AJ60" s="284">
        <v>0</v>
      </c>
      <c r="AK60" s="284">
        <v>0</v>
      </c>
      <c r="AL60" s="284">
        <v>0</v>
      </c>
      <c r="AM60" s="284">
        <v>0</v>
      </c>
      <c r="AN60" s="284">
        <v>0</v>
      </c>
      <c r="AO60" s="284">
        <v>0</v>
      </c>
      <c r="AP60" s="284">
        <v>0</v>
      </c>
      <c r="AQ60" s="284">
        <v>0</v>
      </c>
      <c r="AR60" s="284">
        <v>0</v>
      </c>
      <c r="AS60" s="284">
        <v>0</v>
      </c>
      <c r="AT60" s="284">
        <v>0</v>
      </c>
      <c r="AU60" s="284">
        <v>0</v>
      </c>
      <c r="AV60" s="284">
        <v>0</v>
      </c>
      <c r="AW60" s="284">
        <v>0</v>
      </c>
      <c r="AX60" s="284">
        <v>0</v>
      </c>
      <c r="AY60" s="284">
        <v>0</v>
      </c>
      <c r="AZ60" s="284">
        <v>0</v>
      </c>
      <c r="BA60" s="284">
        <v>0</v>
      </c>
      <c r="BB60" s="284">
        <v>0</v>
      </c>
      <c r="BC60" s="284">
        <v>0</v>
      </c>
      <c r="BD60" s="284">
        <v>0</v>
      </c>
      <c r="BE60" s="284">
        <v>0</v>
      </c>
      <c r="BF60" s="284">
        <v>0</v>
      </c>
      <c r="BG60" s="284">
        <v>0</v>
      </c>
      <c r="BH60" s="284">
        <v>0</v>
      </c>
      <c r="BI60" s="284">
        <v>0</v>
      </c>
      <c r="BJ60" s="284">
        <v>0</v>
      </c>
      <c r="BK60" s="284">
        <v>0</v>
      </c>
      <c r="BL60" s="284">
        <v>0</v>
      </c>
      <c r="BM60" s="284">
        <v>0</v>
      </c>
      <c r="BN60" s="284">
        <v>0</v>
      </c>
      <c r="BO60" s="284">
        <v>9790000</v>
      </c>
      <c r="BP60" s="284">
        <v>0</v>
      </c>
      <c r="BQ60" s="284">
        <v>9790000</v>
      </c>
      <c r="BR60" s="284">
        <v>9790000</v>
      </c>
      <c r="BS60" s="284">
        <v>11000000</v>
      </c>
      <c r="BT60" s="284">
        <v>9790000</v>
      </c>
      <c r="BU60" s="284">
        <v>9790000</v>
      </c>
      <c r="BV60" s="284">
        <v>9790000</v>
      </c>
      <c r="BW60" s="284">
        <v>3520000</v>
      </c>
      <c r="BX60" s="284">
        <v>0</v>
      </c>
      <c r="BY60" s="284">
        <v>3520000</v>
      </c>
      <c r="BZ60" s="284">
        <v>3520000</v>
      </c>
      <c r="CA60" s="284">
        <v>6600000</v>
      </c>
      <c r="CB60" s="284">
        <v>3520000</v>
      </c>
      <c r="CC60" s="284">
        <v>3520000</v>
      </c>
      <c r="CD60" s="284">
        <v>3520000</v>
      </c>
      <c r="CE60" s="284">
        <v>0</v>
      </c>
      <c r="CF60" s="284">
        <v>0</v>
      </c>
      <c r="CG60" s="284">
        <v>0</v>
      </c>
      <c r="CH60" s="284">
        <v>0</v>
      </c>
      <c r="CI60" s="284">
        <v>0</v>
      </c>
      <c r="CJ60" s="284">
        <v>0</v>
      </c>
      <c r="CK60" s="284">
        <v>0</v>
      </c>
      <c r="CL60" s="284">
        <v>0</v>
      </c>
      <c r="CM60" s="284">
        <v>0</v>
      </c>
      <c r="CN60" s="284">
        <v>0</v>
      </c>
      <c r="CO60" s="284">
        <v>0</v>
      </c>
      <c r="CP60" s="284">
        <v>0</v>
      </c>
      <c r="CQ60" s="284">
        <v>0</v>
      </c>
      <c r="CR60" s="284">
        <v>0</v>
      </c>
      <c r="CS60" s="284">
        <v>0</v>
      </c>
      <c r="CT60" s="284">
        <v>0</v>
      </c>
      <c r="CU60" s="284">
        <v>1100000</v>
      </c>
      <c r="CV60" s="284">
        <v>0</v>
      </c>
      <c r="CW60" s="284">
        <v>1100000</v>
      </c>
      <c r="CX60" s="284">
        <v>1100000</v>
      </c>
      <c r="CY60" s="284">
        <v>1100000</v>
      </c>
      <c r="CZ60" s="284">
        <v>1100000</v>
      </c>
      <c r="DA60" s="284">
        <v>1100000</v>
      </c>
      <c r="DB60" s="284">
        <v>1100000</v>
      </c>
      <c r="DC60" s="284">
        <v>0</v>
      </c>
      <c r="DD60" s="284">
        <v>0</v>
      </c>
      <c r="DE60" s="284">
        <v>0</v>
      </c>
      <c r="DF60" s="284">
        <v>0</v>
      </c>
      <c r="DG60" s="284">
        <v>0</v>
      </c>
      <c r="DH60" s="284">
        <v>0</v>
      </c>
      <c r="DI60" s="284">
        <v>0</v>
      </c>
      <c r="DJ60" s="284">
        <v>0</v>
      </c>
      <c r="DK60" s="284">
        <v>0</v>
      </c>
      <c r="DL60" s="284">
        <v>0</v>
      </c>
      <c r="DM60" s="284">
        <v>0</v>
      </c>
      <c r="DN60" s="284">
        <v>0</v>
      </c>
      <c r="DO60" s="284">
        <v>0</v>
      </c>
      <c r="DP60" s="284">
        <v>0</v>
      </c>
      <c r="DQ60" s="284">
        <v>0</v>
      </c>
      <c r="DR60" s="284">
        <v>0</v>
      </c>
      <c r="DS60" s="284">
        <v>2022</v>
      </c>
      <c r="DT60" s="284">
        <v>7</v>
      </c>
      <c r="DU60" s="284">
        <v>27</v>
      </c>
      <c r="DV60" s="284" t="s">
        <v>682</v>
      </c>
      <c r="DW60" s="284" t="s">
        <v>737</v>
      </c>
      <c r="DX60" s="284" t="s">
        <v>679</v>
      </c>
    </row>
    <row r="61" spans="1:128">
      <c r="A61" s="284">
        <v>86</v>
      </c>
      <c r="B61" s="284">
        <v>22518000</v>
      </c>
      <c r="C61" s="284">
        <v>0</v>
      </c>
      <c r="D61" s="284">
        <v>0</v>
      </c>
      <c r="E61" s="284">
        <v>0</v>
      </c>
      <c r="F61" s="284">
        <v>0</v>
      </c>
      <c r="G61" s="284">
        <v>0</v>
      </c>
      <c r="H61" s="284">
        <v>0</v>
      </c>
      <c r="I61" s="284">
        <v>0</v>
      </c>
      <c r="J61" s="284">
        <v>0</v>
      </c>
      <c r="K61" s="284">
        <v>0</v>
      </c>
      <c r="L61" s="284">
        <v>0</v>
      </c>
      <c r="M61" s="284">
        <v>0</v>
      </c>
      <c r="N61" s="284">
        <v>0</v>
      </c>
      <c r="O61" s="284">
        <v>0</v>
      </c>
      <c r="P61" s="284">
        <v>0</v>
      </c>
      <c r="Q61" s="284">
        <v>0</v>
      </c>
      <c r="R61" s="284">
        <v>0</v>
      </c>
      <c r="S61" s="284">
        <v>32906317</v>
      </c>
      <c r="T61" s="284">
        <v>0</v>
      </c>
      <c r="U61" s="284">
        <v>32906317</v>
      </c>
      <c r="V61" s="284">
        <v>32906317</v>
      </c>
      <c r="W61" s="284">
        <v>17128800</v>
      </c>
      <c r="X61" s="284">
        <v>17128800</v>
      </c>
      <c r="Y61" s="284">
        <v>17128800</v>
      </c>
      <c r="Z61" s="284">
        <v>17128000</v>
      </c>
      <c r="AA61" s="284">
        <v>0</v>
      </c>
      <c r="AB61" s="284">
        <v>0</v>
      </c>
      <c r="AC61" s="284">
        <v>0</v>
      </c>
      <c r="AD61" s="284">
        <v>0</v>
      </c>
      <c r="AE61" s="284">
        <v>0</v>
      </c>
      <c r="AF61" s="284">
        <v>0</v>
      </c>
      <c r="AG61" s="284">
        <v>0</v>
      </c>
      <c r="AH61" s="284">
        <v>0</v>
      </c>
      <c r="AI61" s="284">
        <v>0</v>
      </c>
      <c r="AJ61" s="284">
        <v>0</v>
      </c>
      <c r="AK61" s="284">
        <v>0</v>
      </c>
      <c r="AL61" s="284">
        <v>0</v>
      </c>
      <c r="AM61" s="284">
        <v>0</v>
      </c>
      <c r="AN61" s="284">
        <v>0</v>
      </c>
      <c r="AO61" s="284">
        <v>0</v>
      </c>
      <c r="AP61" s="284">
        <v>0</v>
      </c>
      <c r="AQ61" s="284">
        <v>0</v>
      </c>
      <c r="AR61" s="284">
        <v>0</v>
      </c>
      <c r="AS61" s="284">
        <v>0</v>
      </c>
      <c r="AT61" s="284">
        <v>0</v>
      </c>
      <c r="AU61" s="284">
        <v>0</v>
      </c>
      <c r="AV61" s="284">
        <v>0</v>
      </c>
      <c r="AW61" s="284">
        <v>0</v>
      </c>
      <c r="AX61" s="284">
        <v>0</v>
      </c>
      <c r="AY61" s="284">
        <v>0</v>
      </c>
      <c r="AZ61" s="284">
        <v>0</v>
      </c>
      <c r="BA61" s="284">
        <v>0</v>
      </c>
      <c r="BB61" s="284">
        <v>0</v>
      </c>
      <c r="BC61" s="284">
        <v>0</v>
      </c>
      <c r="BD61" s="284">
        <v>0</v>
      </c>
      <c r="BE61" s="284">
        <v>0</v>
      </c>
      <c r="BF61" s="284">
        <v>0</v>
      </c>
      <c r="BG61" s="284">
        <v>0</v>
      </c>
      <c r="BH61" s="284">
        <v>0</v>
      </c>
      <c r="BI61" s="284">
        <v>0</v>
      </c>
      <c r="BJ61" s="284">
        <v>0</v>
      </c>
      <c r="BK61" s="284">
        <v>0</v>
      </c>
      <c r="BL61" s="284">
        <v>0</v>
      </c>
      <c r="BM61" s="284">
        <v>0</v>
      </c>
      <c r="BN61" s="284">
        <v>0</v>
      </c>
      <c r="BO61" s="284">
        <v>0</v>
      </c>
      <c r="BP61" s="284">
        <v>0</v>
      </c>
      <c r="BQ61" s="284">
        <v>0</v>
      </c>
      <c r="BR61" s="284">
        <v>0</v>
      </c>
      <c r="BS61" s="284">
        <v>0</v>
      </c>
      <c r="BT61" s="284">
        <v>0</v>
      </c>
      <c r="BU61" s="284">
        <v>0</v>
      </c>
      <c r="BV61" s="284">
        <v>0</v>
      </c>
      <c r="BW61" s="284">
        <v>5390000</v>
      </c>
      <c r="BX61" s="284">
        <v>0</v>
      </c>
      <c r="BY61" s="284">
        <v>5390000</v>
      </c>
      <c r="BZ61" s="284">
        <v>5390000</v>
      </c>
      <c r="CA61" s="284">
        <v>6600000</v>
      </c>
      <c r="CB61" s="284">
        <v>5390000</v>
      </c>
      <c r="CC61" s="284">
        <v>5390000</v>
      </c>
      <c r="CD61" s="284">
        <v>5390000</v>
      </c>
      <c r="CE61" s="284">
        <v>0</v>
      </c>
      <c r="CF61" s="284">
        <v>0</v>
      </c>
      <c r="CG61" s="284">
        <v>0</v>
      </c>
      <c r="CH61" s="284">
        <v>0</v>
      </c>
      <c r="CI61" s="284">
        <v>0</v>
      </c>
      <c r="CJ61" s="284">
        <v>0</v>
      </c>
      <c r="CK61" s="284">
        <v>0</v>
      </c>
      <c r="CL61" s="284">
        <v>0</v>
      </c>
      <c r="CM61" s="284">
        <v>0</v>
      </c>
      <c r="CN61" s="284">
        <v>0</v>
      </c>
      <c r="CO61" s="284">
        <v>0</v>
      </c>
      <c r="CP61" s="284">
        <v>0</v>
      </c>
      <c r="CQ61" s="284">
        <v>0</v>
      </c>
      <c r="CR61" s="284">
        <v>0</v>
      </c>
      <c r="CS61" s="284">
        <v>0</v>
      </c>
      <c r="CT61" s="284">
        <v>0</v>
      </c>
      <c r="CU61" s="284">
        <v>0</v>
      </c>
      <c r="CV61" s="284">
        <v>0</v>
      </c>
      <c r="CW61" s="284">
        <v>0</v>
      </c>
      <c r="CX61" s="284">
        <v>0</v>
      </c>
      <c r="CY61" s="284">
        <v>0</v>
      </c>
      <c r="CZ61" s="284">
        <v>0</v>
      </c>
      <c r="DA61" s="284">
        <v>0</v>
      </c>
      <c r="DB61" s="284">
        <v>0</v>
      </c>
      <c r="DC61" s="284">
        <v>0</v>
      </c>
      <c r="DD61" s="284">
        <v>0</v>
      </c>
      <c r="DE61" s="284">
        <v>0</v>
      </c>
      <c r="DF61" s="284">
        <v>0</v>
      </c>
      <c r="DG61" s="284">
        <v>0</v>
      </c>
      <c r="DH61" s="284">
        <v>0</v>
      </c>
      <c r="DI61" s="284">
        <v>0</v>
      </c>
      <c r="DJ61" s="284">
        <v>0</v>
      </c>
      <c r="DK61" s="284">
        <v>0</v>
      </c>
      <c r="DL61" s="284">
        <v>0</v>
      </c>
      <c r="DM61" s="284">
        <v>0</v>
      </c>
      <c r="DN61" s="284">
        <v>0</v>
      </c>
      <c r="DO61" s="284">
        <v>0</v>
      </c>
      <c r="DP61" s="284">
        <v>0</v>
      </c>
      <c r="DQ61" s="284">
        <v>0</v>
      </c>
      <c r="DR61" s="284">
        <v>0</v>
      </c>
      <c r="DS61" s="284">
        <v>2022</v>
      </c>
      <c r="DT61" s="284">
        <v>7</v>
      </c>
      <c r="DU61" s="284">
        <v>27</v>
      </c>
      <c r="DV61" s="284" t="s">
        <v>682</v>
      </c>
      <c r="DW61" s="284" t="s">
        <v>736</v>
      </c>
      <c r="DX61" s="284" t="s">
        <v>679</v>
      </c>
    </row>
    <row r="62" spans="1:128">
      <c r="A62" s="284">
        <v>87</v>
      </c>
      <c r="B62" s="284">
        <v>11261000</v>
      </c>
      <c r="C62" s="284">
        <v>0</v>
      </c>
      <c r="D62" s="284">
        <v>0</v>
      </c>
      <c r="E62" s="284">
        <v>0</v>
      </c>
      <c r="F62" s="284">
        <v>0</v>
      </c>
      <c r="G62" s="284">
        <v>0</v>
      </c>
      <c r="H62" s="284">
        <v>0</v>
      </c>
      <c r="I62" s="284">
        <v>0</v>
      </c>
      <c r="J62" s="284">
        <v>0</v>
      </c>
      <c r="K62" s="284">
        <v>0</v>
      </c>
      <c r="L62" s="284">
        <v>0</v>
      </c>
      <c r="M62" s="284">
        <v>0</v>
      </c>
      <c r="N62" s="284">
        <v>0</v>
      </c>
      <c r="O62" s="284">
        <v>0</v>
      </c>
      <c r="P62" s="284">
        <v>0</v>
      </c>
      <c r="Q62" s="284">
        <v>0</v>
      </c>
      <c r="R62" s="284">
        <v>0</v>
      </c>
      <c r="S62" s="284">
        <v>2534227</v>
      </c>
      <c r="T62" s="284">
        <v>0</v>
      </c>
      <c r="U62" s="284">
        <v>2534227</v>
      </c>
      <c r="V62" s="284">
        <v>2534227</v>
      </c>
      <c r="W62" s="284">
        <v>3952800</v>
      </c>
      <c r="X62" s="284">
        <v>2534227</v>
      </c>
      <c r="Y62" s="284">
        <v>2534227</v>
      </c>
      <c r="Z62" s="284">
        <v>2534000</v>
      </c>
      <c r="AA62" s="284">
        <v>0</v>
      </c>
      <c r="AB62" s="284">
        <v>0</v>
      </c>
      <c r="AC62" s="284">
        <v>0</v>
      </c>
      <c r="AD62" s="284">
        <v>0</v>
      </c>
      <c r="AE62" s="284">
        <v>0</v>
      </c>
      <c r="AF62" s="284">
        <v>0</v>
      </c>
      <c r="AG62" s="284">
        <v>0</v>
      </c>
      <c r="AH62" s="284">
        <v>0</v>
      </c>
      <c r="AI62" s="284">
        <v>0</v>
      </c>
      <c r="AJ62" s="284">
        <v>0</v>
      </c>
      <c r="AK62" s="284">
        <v>0</v>
      </c>
      <c r="AL62" s="284">
        <v>0</v>
      </c>
      <c r="AM62" s="284">
        <v>0</v>
      </c>
      <c r="AN62" s="284">
        <v>0</v>
      </c>
      <c r="AO62" s="284">
        <v>0</v>
      </c>
      <c r="AP62" s="284">
        <v>0</v>
      </c>
      <c r="AQ62" s="284">
        <v>0</v>
      </c>
      <c r="AR62" s="284">
        <v>0</v>
      </c>
      <c r="AS62" s="284">
        <v>0</v>
      </c>
      <c r="AT62" s="284">
        <v>0</v>
      </c>
      <c r="AU62" s="284">
        <v>0</v>
      </c>
      <c r="AV62" s="284">
        <v>0</v>
      </c>
      <c r="AW62" s="284">
        <v>0</v>
      </c>
      <c r="AX62" s="284">
        <v>0</v>
      </c>
      <c r="AY62" s="284">
        <v>0</v>
      </c>
      <c r="AZ62" s="284">
        <v>0</v>
      </c>
      <c r="BA62" s="284">
        <v>0</v>
      </c>
      <c r="BB62" s="284">
        <v>0</v>
      </c>
      <c r="BC62" s="284">
        <v>0</v>
      </c>
      <c r="BD62" s="284">
        <v>0</v>
      </c>
      <c r="BE62" s="284">
        <v>0</v>
      </c>
      <c r="BF62" s="284">
        <v>0</v>
      </c>
      <c r="BG62" s="284">
        <v>0</v>
      </c>
      <c r="BH62" s="284">
        <v>0</v>
      </c>
      <c r="BI62" s="284">
        <v>0</v>
      </c>
      <c r="BJ62" s="284">
        <v>0</v>
      </c>
      <c r="BK62" s="284">
        <v>0</v>
      </c>
      <c r="BL62" s="284">
        <v>0</v>
      </c>
      <c r="BM62" s="284">
        <v>0</v>
      </c>
      <c r="BN62" s="284">
        <v>0</v>
      </c>
      <c r="BO62" s="284">
        <v>0</v>
      </c>
      <c r="BP62" s="284">
        <v>0</v>
      </c>
      <c r="BQ62" s="284">
        <v>0</v>
      </c>
      <c r="BR62" s="284">
        <v>0</v>
      </c>
      <c r="BS62" s="284">
        <v>0</v>
      </c>
      <c r="BT62" s="284">
        <v>0</v>
      </c>
      <c r="BU62" s="284">
        <v>0</v>
      </c>
      <c r="BV62" s="284">
        <v>0</v>
      </c>
      <c r="BW62" s="284">
        <v>0</v>
      </c>
      <c r="BX62" s="284">
        <v>0</v>
      </c>
      <c r="BY62" s="284">
        <v>0</v>
      </c>
      <c r="BZ62" s="284">
        <v>0</v>
      </c>
      <c r="CA62" s="284">
        <v>0</v>
      </c>
      <c r="CB62" s="284">
        <v>0</v>
      </c>
      <c r="CC62" s="284">
        <v>0</v>
      </c>
      <c r="CD62" s="284">
        <v>0</v>
      </c>
      <c r="CE62" s="284">
        <v>0</v>
      </c>
      <c r="CF62" s="284">
        <v>0</v>
      </c>
      <c r="CG62" s="284">
        <v>0</v>
      </c>
      <c r="CH62" s="284">
        <v>0</v>
      </c>
      <c r="CI62" s="284">
        <v>0</v>
      </c>
      <c r="CJ62" s="284">
        <v>0</v>
      </c>
      <c r="CK62" s="284">
        <v>0</v>
      </c>
      <c r="CL62" s="284">
        <v>0</v>
      </c>
      <c r="CM62" s="284">
        <v>0</v>
      </c>
      <c r="CN62" s="284">
        <v>0</v>
      </c>
      <c r="CO62" s="284">
        <v>0</v>
      </c>
      <c r="CP62" s="284">
        <v>0</v>
      </c>
      <c r="CQ62" s="284">
        <v>0</v>
      </c>
      <c r="CR62" s="284">
        <v>0</v>
      </c>
      <c r="CS62" s="284">
        <v>0</v>
      </c>
      <c r="CT62" s="284">
        <v>0</v>
      </c>
      <c r="CU62" s="284">
        <v>8727126</v>
      </c>
      <c r="CV62" s="284">
        <v>0</v>
      </c>
      <c r="CW62" s="284">
        <v>8727126</v>
      </c>
      <c r="CX62" s="284">
        <v>8727126</v>
      </c>
      <c r="CY62" s="284">
        <v>8800000</v>
      </c>
      <c r="CZ62" s="284">
        <v>8727126</v>
      </c>
      <c r="DA62" s="284">
        <v>8727126</v>
      </c>
      <c r="DB62" s="284">
        <v>8727000</v>
      </c>
      <c r="DC62" s="284">
        <v>0</v>
      </c>
      <c r="DD62" s="284">
        <v>0</v>
      </c>
      <c r="DE62" s="284">
        <v>0</v>
      </c>
      <c r="DF62" s="284">
        <v>0</v>
      </c>
      <c r="DG62" s="284">
        <v>0</v>
      </c>
      <c r="DH62" s="284">
        <v>0</v>
      </c>
      <c r="DI62" s="284">
        <v>0</v>
      </c>
      <c r="DJ62" s="284">
        <v>0</v>
      </c>
      <c r="DK62" s="284">
        <v>0</v>
      </c>
      <c r="DL62" s="284">
        <v>0</v>
      </c>
      <c r="DM62" s="284">
        <v>0</v>
      </c>
      <c r="DN62" s="284">
        <v>0</v>
      </c>
      <c r="DO62" s="284">
        <v>0</v>
      </c>
      <c r="DP62" s="284">
        <v>0</v>
      </c>
      <c r="DQ62" s="284">
        <v>0</v>
      </c>
      <c r="DR62" s="284">
        <v>0</v>
      </c>
      <c r="DS62" s="284">
        <v>2022</v>
      </c>
      <c r="DT62" s="284">
        <v>7</v>
      </c>
      <c r="DU62" s="284">
        <v>27</v>
      </c>
      <c r="DV62" s="284" t="s">
        <v>682</v>
      </c>
      <c r="DW62" s="284" t="s">
        <v>738</v>
      </c>
      <c r="DX62" s="284" t="s">
        <v>679</v>
      </c>
    </row>
    <row r="63" spans="1:128">
      <c r="A63" s="284">
        <v>88</v>
      </c>
      <c r="B63" s="284">
        <v>1100000</v>
      </c>
      <c r="C63" s="284">
        <v>0</v>
      </c>
      <c r="D63" s="284">
        <v>0</v>
      </c>
      <c r="E63" s="284">
        <v>0</v>
      </c>
      <c r="F63" s="284">
        <v>0</v>
      </c>
      <c r="G63" s="284">
        <v>0</v>
      </c>
      <c r="H63" s="284">
        <v>0</v>
      </c>
      <c r="I63" s="284">
        <v>0</v>
      </c>
      <c r="J63" s="284">
        <v>0</v>
      </c>
      <c r="K63" s="284">
        <v>0</v>
      </c>
      <c r="L63" s="284">
        <v>0</v>
      </c>
      <c r="M63" s="284">
        <v>0</v>
      </c>
      <c r="N63" s="284">
        <v>0</v>
      </c>
      <c r="O63" s="284">
        <v>0</v>
      </c>
      <c r="P63" s="284">
        <v>0</v>
      </c>
      <c r="Q63" s="284">
        <v>0</v>
      </c>
      <c r="R63" s="284">
        <v>0</v>
      </c>
      <c r="S63" s="284">
        <v>0</v>
      </c>
      <c r="T63" s="284">
        <v>0</v>
      </c>
      <c r="U63" s="284">
        <v>0</v>
      </c>
      <c r="V63" s="284">
        <v>0</v>
      </c>
      <c r="W63" s="284">
        <v>0</v>
      </c>
      <c r="X63" s="284">
        <v>0</v>
      </c>
      <c r="Y63" s="284">
        <v>0</v>
      </c>
      <c r="Z63" s="284">
        <v>0</v>
      </c>
      <c r="AA63" s="284">
        <v>0</v>
      </c>
      <c r="AB63" s="284">
        <v>0</v>
      </c>
      <c r="AC63" s="284">
        <v>0</v>
      </c>
      <c r="AD63" s="284">
        <v>0</v>
      </c>
      <c r="AE63" s="284">
        <v>0</v>
      </c>
      <c r="AF63" s="284">
        <v>0</v>
      </c>
      <c r="AG63" s="284">
        <v>0</v>
      </c>
      <c r="AH63" s="284">
        <v>0</v>
      </c>
      <c r="AI63" s="284">
        <v>0</v>
      </c>
      <c r="AJ63" s="284">
        <v>0</v>
      </c>
      <c r="AK63" s="284">
        <v>0</v>
      </c>
      <c r="AL63" s="284">
        <v>0</v>
      </c>
      <c r="AM63" s="284">
        <v>0</v>
      </c>
      <c r="AN63" s="284">
        <v>0</v>
      </c>
      <c r="AO63" s="284">
        <v>0</v>
      </c>
      <c r="AP63" s="284">
        <v>0</v>
      </c>
      <c r="AQ63" s="284">
        <v>0</v>
      </c>
      <c r="AR63" s="284">
        <v>0</v>
      </c>
      <c r="AS63" s="284">
        <v>0</v>
      </c>
      <c r="AT63" s="284">
        <v>0</v>
      </c>
      <c r="AU63" s="284">
        <v>0</v>
      </c>
      <c r="AV63" s="284">
        <v>0</v>
      </c>
      <c r="AW63" s="284">
        <v>0</v>
      </c>
      <c r="AX63" s="284">
        <v>0</v>
      </c>
      <c r="AY63" s="284">
        <v>0</v>
      </c>
      <c r="AZ63" s="284">
        <v>0</v>
      </c>
      <c r="BA63" s="284">
        <v>0</v>
      </c>
      <c r="BB63" s="284">
        <v>0</v>
      </c>
      <c r="BC63" s="284">
        <v>0</v>
      </c>
      <c r="BD63" s="284">
        <v>0</v>
      </c>
      <c r="BE63" s="284">
        <v>0</v>
      </c>
      <c r="BF63" s="284">
        <v>0</v>
      </c>
      <c r="BG63" s="284">
        <v>0</v>
      </c>
      <c r="BH63" s="284">
        <v>0</v>
      </c>
      <c r="BI63" s="284">
        <v>0</v>
      </c>
      <c r="BJ63" s="284">
        <v>0</v>
      </c>
      <c r="BK63" s="284">
        <v>0</v>
      </c>
      <c r="BL63" s="284">
        <v>0</v>
      </c>
      <c r="BM63" s="284">
        <v>0</v>
      </c>
      <c r="BN63" s="284">
        <v>0</v>
      </c>
      <c r="BO63" s="284">
        <v>0</v>
      </c>
      <c r="BP63" s="284">
        <v>0</v>
      </c>
      <c r="BQ63" s="284">
        <v>0</v>
      </c>
      <c r="BR63" s="284">
        <v>0</v>
      </c>
      <c r="BS63" s="284">
        <v>0</v>
      </c>
      <c r="BT63" s="284">
        <v>0</v>
      </c>
      <c r="BU63" s="284">
        <v>0</v>
      </c>
      <c r="BV63" s="284">
        <v>0</v>
      </c>
      <c r="BW63" s="284">
        <v>0</v>
      </c>
      <c r="BX63" s="284">
        <v>0</v>
      </c>
      <c r="BY63" s="284">
        <v>0</v>
      </c>
      <c r="BZ63" s="284">
        <v>0</v>
      </c>
      <c r="CA63" s="284">
        <v>0</v>
      </c>
      <c r="CB63" s="284">
        <v>0</v>
      </c>
      <c r="CC63" s="284">
        <v>0</v>
      </c>
      <c r="CD63" s="284">
        <v>0</v>
      </c>
      <c r="CE63" s="284">
        <v>0</v>
      </c>
      <c r="CF63" s="284">
        <v>0</v>
      </c>
      <c r="CG63" s="284">
        <v>0</v>
      </c>
      <c r="CH63" s="284">
        <v>0</v>
      </c>
      <c r="CI63" s="284">
        <v>0</v>
      </c>
      <c r="CJ63" s="284">
        <v>0</v>
      </c>
      <c r="CK63" s="284">
        <v>0</v>
      </c>
      <c r="CL63" s="284">
        <v>0</v>
      </c>
      <c r="CM63" s="284">
        <v>0</v>
      </c>
      <c r="CN63" s="284">
        <v>0</v>
      </c>
      <c r="CO63" s="284">
        <v>0</v>
      </c>
      <c r="CP63" s="284">
        <v>0</v>
      </c>
      <c r="CQ63" s="284">
        <v>0</v>
      </c>
      <c r="CR63" s="284">
        <v>0</v>
      </c>
      <c r="CS63" s="284">
        <v>0</v>
      </c>
      <c r="CT63" s="284">
        <v>0</v>
      </c>
      <c r="CU63" s="284">
        <v>1397000</v>
      </c>
      <c r="CV63" s="284">
        <v>0</v>
      </c>
      <c r="CW63" s="284">
        <v>1397000</v>
      </c>
      <c r="CX63" s="284">
        <v>1397000</v>
      </c>
      <c r="CY63" s="284">
        <v>1100000</v>
      </c>
      <c r="CZ63" s="284">
        <v>1100000</v>
      </c>
      <c r="DA63" s="284">
        <v>1100000</v>
      </c>
      <c r="DB63" s="284">
        <v>1100000</v>
      </c>
      <c r="DC63" s="284">
        <v>0</v>
      </c>
      <c r="DD63" s="284">
        <v>0</v>
      </c>
      <c r="DE63" s="284">
        <v>0</v>
      </c>
      <c r="DF63" s="284">
        <v>0</v>
      </c>
      <c r="DG63" s="284">
        <v>0</v>
      </c>
      <c r="DH63" s="284">
        <v>0</v>
      </c>
      <c r="DI63" s="284">
        <v>0</v>
      </c>
      <c r="DJ63" s="284">
        <v>0</v>
      </c>
      <c r="DK63" s="284">
        <v>0</v>
      </c>
      <c r="DL63" s="284">
        <v>0</v>
      </c>
      <c r="DM63" s="284">
        <v>0</v>
      </c>
      <c r="DN63" s="284">
        <v>0</v>
      </c>
      <c r="DO63" s="284">
        <v>0</v>
      </c>
      <c r="DP63" s="284">
        <v>0</v>
      </c>
      <c r="DQ63" s="284">
        <v>0</v>
      </c>
      <c r="DR63" s="284">
        <v>0</v>
      </c>
      <c r="DS63" s="284">
        <v>2022</v>
      </c>
      <c r="DT63" s="284">
        <v>7</v>
      </c>
      <c r="DU63" s="284">
        <v>27</v>
      </c>
      <c r="DV63" s="284" t="s">
        <v>739</v>
      </c>
      <c r="DW63" s="284" t="s">
        <v>681</v>
      </c>
      <c r="DX63" s="284" t="s">
        <v>679</v>
      </c>
    </row>
    <row r="64" spans="1:128">
      <c r="A64" s="284">
        <v>89</v>
      </c>
      <c r="B64" s="284">
        <v>15137000</v>
      </c>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c r="BA64" s="284"/>
      <c r="BB64" s="284"/>
      <c r="BC64" s="284"/>
      <c r="BD64" s="284"/>
      <c r="BE64" s="284"/>
      <c r="BF64" s="284"/>
      <c r="BG64" s="284"/>
      <c r="BH64" s="284"/>
      <c r="BI64" s="284"/>
      <c r="BJ64" s="284"/>
      <c r="BK64" s="284"/>
      <c r="BL64" s="284"/>
      <c r="BM64" s="284"/>
      <c r="BN64" s="284"/>
      <c r="BO64" s="284"/>
      <c r="BP64" s="284"/>
      <c r="BQ64" s="284"/>
      <c r="BR64" s="284"/>
      <c r="BS64" s="284"/>
      <c r="BT64" s="284"/>
      <c r="BU64" s="284"/>
      <c r="BV64" s="284"/>
      <c r="BW64" s="284"/>
      <c r="BX64" s="284"/>
      <c r="BY64" s="284"/>
      <c r="BZ64" s="284"/>
      <c r="CA64" s="284"/>
      <c r="CB64" s="284"/>
      <c r="CC64" s="284"/>
      <c r="CD64" s="284"/>
      <c r="CE64" s="284"/>
      <c r="CF64" s="284"/>
      <c r="CG64" s="284"/>
      <c r="CH64" s="284"/>
      <c r="CI64" s="284"/>
      <c r="CJ64" s="284"/>
      <c r="CK64" s="284"/>
      <c r="CL64" s="284"/>
      <c r="CM64" s="284"/>
      <c r="CN64" s="284"/>
      <c r="CO64" s="284"/>
      <c r="CP64" s="284"/>
      <c r="CQ64" s="284"/>
      <c r="CR64" s="284"/>
      <c r="CS64" s="284"/>
      <c r="CT64" s="284"/>
      <c r="CU64" s="284"/>
      <c r="CV64" s="284"/>
      <c r="CW64" s="284"/>
      <c r="CX64" s="284"/>
      <c r="CY64" s="284"/>
      <c r="CZ64" s="284"/>
      <c r="DA64" s="284"/>
      <c r="DB64" s="284"/>
      <c r="DC64" s="284"/>
      <c r="DD64" s="284"/>
      <c r="DE64" s="284"/>
      <c r="DF64" s="284"/>
      <c r="DG64" s="284"/>
      <c r="DH64" s="284"/>
      <c r="DI64" s="284"/>
      <c r="DJ64" s="284"/>
      <c r="DK64" s="284"/>
      <c r="DL64" s="284"/>
      <c r="DM64" s="284"/>
      <c r="DN64" s="284"/>
      <c r="DO64" s="284"/>
      <c r="DP64" s="284"/>
      <c r="DQ64" s="284"/>
      <c r="DR64" s="284"/>
      <c r="DS64" s="284">
        <v>2022</v>
      </c>
      <c r="DT64" s="284">
        <v>9</v>
      </c>
      <c r="DU64" s="284">
        <v>22</v>
      </c>
      <c r="DV64" s="284" t="s">
        <v>682</v>
      </c>
      <c r="DW64" s="284" t="s">
        <v>740</v>
      </c>
      <c r="DX64" s="284" t="s">
        <v>679</v>
      </c>
    </row>
    <row r="65" spans="1:128">
      <c r="A65" s="284">
        <v>90</v>
      </c>
      <c r="B65" s="284">
        <v>11927000</v>
      </c>
      <c r="C65" s="284">
        <v>0</v>
      </c>
      <c r="D65" s="284">
        <v>0</v>
      </c>
      <c r="E65" s="284">
        <v>0</v>
      </c>
      <c r="F65" s="284">
        <v>0</v>
      </c>
      <c r="G65" s="284">
        <v>0</v>
      </c>
      <c r="H65" s="284">
        <v>0</v>
      </c>
      <c r="I65" s="284">
        <v>0</v>
      </c>
      <c r="J65" s="284">
        <v>0</v>
      </c>
      <c r="K65" s="284">
        <v>638000</v>
      </c>
      <c r="L65" s="284">
        <v>0</v>
      </c>
      <c r="M65" s="284">
        <v>638000</v>
      </c>
      <c r="N65" s="284">
        <v>638000</v>
      </c>
      <c r="O65" s="284">
        <v>638000</v>
      </c>
      <c r="P65" s="284">
        <v>638000</v>
      </c>
      <c r="Q65" s="284">
        <v>638000</v>
      </c>
      <c r="R65" s="284">
        <v>638000</v>
      </c>
      <c r="S65" s="284">
        <v>4797648</v>
      </c>
      <c r="T65" s="284">
        <v>0</v>
      </c>
      <c r="U65" s="284">
        <v>4797648</v>
      </c>
      <c r="V65" s="284">
        <v>4797648</v>
      </c>
      <c r="W65" s="284">
        <v>8564400</v>
      </c>
      <c r="X65" s="284">
        <v>4797648</v>
      </c>
      <c r="Y65" s="284">
        <v>4797648</v>
      </c>
      <c r="Z65" s="284">
        <v>4797000</v>
      </c>
      <c r="AA65" s="284">
        <v>0</v>
      </c>
      <c r="AB65" s="284">
        <v>0</v>
      </c>
      <c r="AC65" s="284">
        <v>0</v>
      </c>
      <c r="AD65" s="284">
        <v>0</v>
      </c>
      <c r="AE65" s="284">
        <v>0</v>
      </c>
      <c r="AF65" s="284">
        <v>0</v>
      </c>
      <c r="AG65" s="284">
        <v>0</v>
      </c>
      <c r="AH65" s="284">
        <v>0</v>
      </c>
      <c r="AI65" s="284">
        <v>0</v>
      </c>
      <c r="AJ65" s="284">
        <v>0</v>
      </c>
      <c r="AK65" s="284">
        <v>0</v>
      </c>
      <c r="AL65" s="284">
        <v>0</v>
      </c>
      <c r="AM65" s="284">
        <v>0</v>
      </c>
      <c r="AN65" s="284">
        <v>0</v>
      </c>
      <c r="AO65" s="284">
        <v>0</v>
      </c>
      <c r="AP65" s="284">
        <v>0</v>
      </c>
      <c r="AQ65" s="284">
        <v>0</v>
      </c>
      <c r="AR65" s="284">
        <v>0</v>
      </c>
      <c r="AS65" s="284">
        <v>0</v>
      </c>
      <c r="AT65" s="284">
        <v>0</v>
      </c>
      <c r="AU65" s="284">
        <v>0</v>
      </c>
      <c r="AV65" s="284">
        <v>0</v>
      </c>
      <c r="AW65" s="284">
        <v>0</v>
      </c>
      <c r="AX65" s="284">
        <v>0</v>
      </c>
      <c r="AY65" s="284">
        <v>0</v>
      </c>
      <c r="AZ65" s="284">
        <v>0</v>
      </c>
      <c r="BA65" s="284">
        <v>0</v>
      </c>
      <c r="BB65" s="284">
        <v>0</v>
      </c>
      <c r="BC65" s="284">
        <v>0</v>
      </c>
      <c r="BD65" s="284">
        <v>0</v>
      </c>
      <c r="BE65" s="284">
        <v>0</v>
      </c>
      <c r="BF65" s="284">
        <v>0</v>
      </c>
      <c r="BG65" s="284">
        <v>0</v>
      </c>
      <c r="BH65" s="284">
        <v>0</v>
      </c>
      <c r="BI65" s="284">
        <v>0</v>
      </c>
      <c r="BJ65" s="284">
        <v>0</v>
      </c>
      <c r="BK65" s="284">
        <v>0</v>
      </c>
      <c r="BL65" s="284">
        <v>0</v>
      </c>
      <c r="BM65" s="284">
        <v>0</v>
      </c>
      <c r="BN65" s="284">
        <v>0</v>
      </c>
      <c r="BO65" s="284">
        <v>0</v>
      </c>
      <c r="BP65" s="284">
        <v>0</v>
      </c>
      <c r="BQ65" s="284">
        <v>0</v>
      </c>
      <c r="BR65" s="284">
        <v>0</v>
      </c>
      <c r="BS65" s="284">
        <v>0</v>
      </c>
      <c r="BT65" s="284">
        <v>0</v>
      </c>
      <c r="BU65" s="284">
        <v>0</v>
      </c>
      <c r="BV65" s="284">
        <v>0</v>
      </c>
      <c r="BW65" s="284">
        <v>0</v>
      </c>
      <c r="BX65" s="284">
        <v>0</v>
      </c>
      <c r="BY65" s="284">
        <v>0</v>
      </c>
      <c r="BZ65" s="284">
        <v>0</v>
      </c>
      <c r="CA65" s="284">
        <v>0</v>
      </c>
      <c r="CB65" s="284">
        <v>0</v>
      </c>
      <c r="CC65" s="284">
        <v>0</v>
      </c>
      <c r="CD65" s="284">
        <v>0</v>
      </c>
      <c r="CE65" s="284">
        <v>0</v>
      </c>
      <c r="CF65" s="284">
        <v>0</v>
      </c>
      <c r="CG65" s="284">
        <v>0</v>
      </c>
      <c r="CH65" s="284">
        <v>0</v>
      </c>
      <c r="CI65" s="284">
        <v>0</v>
      </c>
      <c r="CJ65" s="284">
        <v>0</v>
      </c>
      <c r="CK65" s="284">
        <v>0</v>
      </c>
      <c r="CL65" s="284">
        <v>0</v>
      </c>
      <c r="CM65" s="284">
        <v>0</v>
      </c>
      <c r="CN65" s="284">
        <v>0</v>
      </c>
      <c r="CO65" s="284">
        <v>0</v>
      </c>
      <c r="CP65" s="284">
        <v>0</v>
      </c>
      <c r="CQ65" s="284">
        <v>0</v>
      </c>
      <c r="CR65" s="284">
        <v>0</v>
      </c>
      <c r="CS65" s="284">
        <v>0</v>
      </c>
      <c r="CT65" s="284">
        <v>0</v>
      </c>
      <c r="CU65" s="284">
        <v>6492000</v>
      </c>
      <c r="CV65" s="284">
        <v>0</v>
      </c>
      <c r="CW65" s="284">
        <v>6492000</v>
      </c>
      <c r="CX65" s="284">
        <v>6492000</v>
      </c>
      <c r="CY65" s="284">
        <v>6600000</v>
      </c>
      <c r="CZ65" s="284">
        <v>6492000</v>
      </c>
      <c r="DA65" s="284">
        <v>6492000</v>
      </c>
      <c r="DB65" s="284">
        <v>6492000</v>
      </c>
      <c r="DC65" s="284">
        <v>0</v>
      </c>
      <c r="DD65" s="284">
        <v>0</v>
      </c>
      <c r="DE65" s="284">
        <v>0</v>
      </c>
      <c r="DF65" s="284">
        <v>0</v>
      </c>
      <c r="DG65" s="284">
        <v>0</v>
      </c>
      <c r="DH65" s="284">
        <v>0</v>
      </c>
      <c r="DI65" s="284">
        <v>0</v>
      </c>
      <c r="DJ65" s="284">
        <v>0</v>
      </c>
      <c r="DK65" s="284">
        <v>0</v>
      </c>
      <c r="DL65" s="284">
        <v>0</v>
      </c>
      <c r="DM65" s="284">
        <v>0</v>
      </c>
      <c r="DN65" s="284">
        <v>0</v>
      </c>
      <c r="DO65" s="284">
        <v>0</v>
      </c>
      <c r="DP65" s="284">
        <v>0</v>
      </c>
      <c r="DQ65" s="284">
        <v>0</v>
      </c>
      <c r="DR65" s="284">
        <v>0</v>
      </c>
      <c r="DS65" s="284">
        <v>2022</v>
      </c>
      <c r="DT65" s="284">
        <v>7</v>
      </c>
      <c r="DU65" s="284">
        <v>27</v>
      </c>
      <c r="DV65" s="284" t="s">
        <v>704</v>
      </c>
      <c r="DW65" s="284" t="s">
        <v>741</v>
      </c>
      <c r="DX65" s="284" t="s">
        <v>679</v>
      </c>
    </row>
    <row r="66" spans="1:128">
      <c r="A66" s="284">
        <v>91</v>
      </c>
      <c r="B66" s="284">
        <v>18038000</v>
      </c>
      <c r="C66" s="284">
        <v>0</v>
      </c>
      <c r="D66" s="284">
        <v>0</v>
      </c>
      <c r="E66" s="284">
        <v>0</v>
      </c>
      <c r="F66" s="284">
        <v>0</v>
      </c>
      <c r="G66" s="284">
        <v>0</v>
      </c>
      <c r="H66" s="284">
        <v>0</v>
      </c>
      <c r="I66" s="284">
        <v>0</v>
      </c>
      <c r="J66" s="284">
        <v>0</v>
      </c>
      <c r="K66" s="284">
        <v>0</v>
      </c>
      <c r="L66" s="284">
        <v>0</v>
      </c>
      <c r="M66" s="284">
        <v>0</v>
      </c>
      <c r="N66" s="284">
        <v>0</v>
      </c>
      <c r="O66" s="284">
        <v>0</v>
      </c>
      <c r="P66" s="284">
        <v>0</v>
      </c>
      <c r="Q66" s="284">
        <v>0</v>
      </c>
      <c r="R66" s="284">
        <v>0</v>
      </c>
      <c r="S66" s="284">
        <v>7066488</v>
      </c>
      <c r="T66" s="284">
        <v>0</v>
      </c>
      <c r="U66" s="284">
        <v>7066488</v>
      </c>
      <c r="V66" s="284">
        <v>7066488</v>
      </c>
      <c r="W66" s="284">
        <v>8564400</v>
      </c>
      <c r="X66" s="284">
        <v>7066488</v>
      </c>
      <c r="Y66" s="284">
        <v>7066488</v>
      </c>
      <c r="Z66" s="284">
        <v>7066000</v>
      </c>
      <c r="AA66" s="284">
        <v>0</v>
      </c>
      <c r="AB66" s="284">
        <v>0</v>
      </c>
      <c r="AC66" s="284">
        <v>0</v>
      </c>
      <c r="AD66" s="284">
        <v>0</v>
      </c>
      <c r="AE66" s="284">
        <v>0</v>
      </c>
      <c r="AF66" s="284">
        <v>0</v>
      </c>
      <c r="AG66" s="284">
        <v>0</v>
      </c>
      <c r="AH66" s="284">
        <v>0</v>
      </c>
      <c r="AI66" s="284">
        <v>0</v>
      </c>
      <c r="AJ66" s="284">
        <v>0</v>
      </c>
      <c r="AK66" s="284">
        <v>0</v>
      </c>
      <c r="AL66" s="284">
        <v>0</v>
      </c>
      <c r="AM66" s="284">
        <v>0</v>
      </c>
      <c r="AN66" s="284">
        <v>0</v>
      </c>
      <c r="AO66" s="284">
        <v>0</v>
      </c>
      <c r="AP66" s="284">
        <v>0</v>
      </c>
      <c r="AQ66" s="284">
        <v>0</v>
      </c>
      <c r="AR66" s="284">
        <v>0</v>
      </c>
      <c r="AS66" s="284">
        <v>0</v>
      </c>
      <c r="AT66" s="284">
        <v>0</v>
      </c>
      <c r="AU66" s="284">
        <v>0</v>
      </c>
      <c r="AV66" s="284">
        <v>0</v>
      </c>
      <c r="AW66" s="284">
        <v>0</v>
      </c>
      <c r="AX66" s="284">
        <v>0</v>
      </c>
      <c r="AY66" s="284">
        <v>0</v>
      </c>
      <c r="AZ66" s="284">
        <v>0</v>
      </c>
      <c r="BA66" s="284">
        <v>0</v>
      </c>
      <c r="BB66" s="284">
        <v>0</v>
      </c>
      <c r="BC66" s="284">
        <v>0</v>
      </c>
      <c r="BD66" s="284">
        <v>0</v>
      </c>
      <c r="BE66" s="284">
        <v>0</v>
      </c>
      <c r="BF66" s="284">
        <v>0</v>
      </c>
      <c r="BG66" s="284">
        <v>0</v>
      </c>
      <c r="BH66" s="284">
        <v>0</v>
      </c>
      <c r="BI66" s="284">
        <v>0</v>
      </c>
      <c r="BJ66" s="284">
        <v>0</v>
      </c>
      <c r="BK66" s="284">
        <v>0</v>
      </c>
      <c r="BL66" s="284">
        <v>0</v>
      </c>
      <c r="BM66" s="284">
        <v>0</v>
      </c>
      <c r="BN66" s="284">
        <v>0</v>
      </c>
      <c r="BO66" s="284">
        <v>10972500</v>
      </c>
      <c r="BP66" s="284">
        <v>0</v>
      </c>
      <c r="BQ66" s="284">
        <v>10972500</v>
      </c>
      <c r="BR66" s="284">
        <v>10972500</v>
      </c>
      <c r="BS66" s="284">
        <v>11000000</v>
      </c>
      <c r="BT66" s="284">
        <v>10972500</v>
      </c>
      <c r="BU66" s="284">
        <v>10972500</v>
      </c>
      <c r="BV66" s="284">
        <v>10972000</v>
      </c>
      <c r="BW66" s="284">
        <v>0</v>
      </c>
      <c r="BX66" s="284">
        <v>0</v>
      </c>
      <c r="BY66" s="284">
        <v>0</v>
      </c>
      <c r="BZ66" s="284">
        <v>0</v>
      </c>
      <c r="CA66" s="284">
        <v>0</v>
      </c>
      <c r="CB66" s="284">
        <v>0</v>
      </c>
      <c r="CC66" s="284">
        <v>0</v>
      </c>
      <c r="CD66" s="284">
        <v>0</v>
      </c>
      <c r="CE66" s="284">
        <v>0</v>
      </c>
      <c r="CF66" s="284">
        <v>0</v>
      </c>
      <c r="CG66" s="284">
        <v>0</v>
      </c>
      <c r="CH66" s="284">
        <v>0</v>
      </c>
      <c r="CI66" s="284">
        <v>0</v>
      </c>
      <c r="CJ66" s="284">
        <v>0</v>
      </c>
      <c r="CK66" s="284">
        <v>0</v>
      </c>
      <c r="CL66" s="284">
        <v>0</v>
      </c>
      <c r="CM66" s="284">
        <v>0</v>
      </c>
      <c r="CN66" s="284">
        <v>0</v>
      </c>
      <c r="CO66" s="284">
        <v>0</v>
      </c>
      <c r="CP66" s="284">
        <v>0</v>
      </c>
      <c r="CQ66" s="284">
        <v>0</v>
      </c>
      <c r="CR66" s="284">
        <v>0</v>
      </c>
      <c r="CS66" s="284">
        <v>0</v>
      </c>
      <c r="CT66" s="284">
        <v>0</v>
      </c>
      <c r="CU66" s="284">
        <v>0</v>
      </c>
      <c r="CV66" s="284">
        <v>0</v>
      </c>
      <c r="CW66" s="284">
        <v>0</v>
      </c>
      <c r="CX66" s="284">
        <v>0</v>
      </c>
      <c r="CY66" s="284">
        <v>0</v>
      </c>
      <c r="CZ66" s="284">
        <v>0</v>
      </c>
      <c r="DA66" s="284">
        <v>0</v>
      </c>
      <c r="DB66" s="284">
        <v>0</v>
      </c>
      <c r="DC66" s="284">
        <v>0</v>
      </c>
      <c r="DD66" s="284">
        <v>0</v>
      </c>
      <c r="DE66" s="284">
        <v>0</v>
      </c>
      <c r="DF66" s="284">
        <v>0</v>
      </c>
      <c r="DG66" s="284">
        <v>0</v>
      </c>
      <c r="DH66" s="284">
        <v>0</v>
      </c>
      <c r="DI66" s="284">
        <v>0</v>
      </c>
      <c r="DJ66" s="284">
        <v>0</v>
      </c>
      <c r="DK66" s="284">
        <v>0</v>
      </c>
      <c r="DL66" s="284">
        <v>0</v>
      </c>
      <c r="DM66" s="284">
        <v>0</v>
      </c>
      <c r="DN66" s="284">
        <v>0</v>
      </c>
      <c r="DO66" s="284">
        <v>0</v>
      </c>
      <c r="DP66" s="284">
        <v>0</v>
      </c>
      <c r="DQ66" s="284">
        <v>0</v>
      </c>
      <c r="DR66" s="284">
        <v>0</v>
      </c>
      <c r="DS66" s="284">
        <v>2022</v>
      </c>
      <c r="DT66" s="284">
        <v>7</v>
      </c>
      <c r="DU66" s="284">
        <v>27</v>
      </c>
      <c r="DV66" s="284" t="s">
        <v>682</v>
      </c>
      <c r="DW66" s="284" t="s">
        <v>722</v>
      </c>
      <c r="DX66" s="284" t="s">
        <v>679</v>
      </c>
    </row>
    <row r="67" spans="1:128">
      <c r="A67" s="284">
        <v>92</v>
      </c>
      <c r="B67" s="284">
        <v>20026000</v>
      </c>
      <c r="C67" s="284">
        <v>0</v>
      </c>
      <c r="D67" s="284">
        <v>0</v>
      </c>
      <c r="E67" s="284">
        <v>0</v>
      </c>
      <c r="F67" s="284">
        <v>0</v>
      </c>
      <c r="G67" s="284">
        <v>0</v>
      </c>
      <c r="H67" s="284">
        <v>0</v>
      </c>
      <c r="I67" s="284">
        <v>0</v>
      </c>
      <c r="J67" s="284">
        <v>0</v>
      </c>
      <c r="K67" s="284">
        <v>8800000</v>
      </c>
      <c r="L67" s="284">
        <v>0</v>
      </c>
      <c r="M67" s="284">
        <v>8800000</v>
      </c>
      <c r="N67" s="284">
        <v>8800000</v>
      </c>
      <c r="O67" s="284">
        <v>8800000</v>
      </c>
      <c r="P67" s="284">
        <v>8800000</v>
      </c>
      <c r="Q67" s="284">
        <v>8800000</v>
      </c>
      <c r="R67" s="284">
        <v>8800000</v>
      </c>
      <c r="S67" s="284">
        <v>6991998</v>
      </c>
      <c r="T67" s="284">
        <v>0</v>
      </c>
      <c r="U67" s="284">
        <v>6991998</v>
      </c>
      <c r="V67" s="284">
        <v>6991998</v>
      </c>
      <c r="W67" s="284">
        <v>13834800</v>
      </c>
      <c r="X67" s="284">
        <v>6991998</v>
      </c>
      <c r="Y67" s="284">
        <v>6991998</v>
      </c>
      <c r="Z67" s="284">
        <v>6991000</v>
      </c>
      <c r="AA67" s="284">
        <v>0</v>
      </c>
      <c r="AB67" s="284">
        <v>0</v>
      </c>
      <c r="AC67" s="284">
        <v>0</v>
      </c>
      <c r="AD67" s="284">
        <v>0</v>
      </c>
      <c r="AE67" s="284">
        <v>0</v>
      </c>
      <c r="AF67" s="284">
        <v>0</v>
      </c>
      <c r="AG67" s="284">
        <v>0</v>
      </c>
      <c r="AH67" s="284">
        <v>0</v>
      </c>
      <c r="AI67" s="284">
        <v>0</v>
      </c>
      <c r="AJ67" s="284">
        <v>0</v>
      </c>
      <c r="AK67" s="284">
        <v>0</v>
      </c>
      <c r="AL67" s="284">
        <v>0</v>
      </c>
      <c r="AM67" s="284">
        <v>0</v>
      </c>
      <c r="AN67" s="284">
        <v>0</v>
      </c>
      <c r="AO67" s="284">
        <v>0</v>
      </c>
      <c r="AP67" s="284">
        <v>0</v>
      </c>
      <c r="AQ67" s="284">
        <v>0</v>
      </c>
      <c r="AR67" s="284">
        <v>0</v>
      </c>
      <c r="AS67" s="284">
        <v>0</v>
      </c>
      <c r="AT67" s="284">
        <v>0</v>
      </c>
      <c r="AU67" s="284">
        <v>0</v>
      </c>
      <c r="AV67" s="284">
        <v>0</v>
      </c>
      <c r="AW67" s="284">
        <v>0</v>
      </c>
      <c r="AX67" s="284">
        <v>0</v>
      </c>
      <c r="AY67" s="284">
        <v>0</v>
      </c>
      <c r="AZ67" s="284">
        <v>0</v>
      </c>
      <c r="BA67" s="284">
        <v>0</v>
      </c>
      <c r="BB67" s="284">
        <v>0</v>
      </c>
      <c r="BC67" s="284">
        <v>0</v>
      </c>
      <c r="BD67" s="284">
        <v>0</v>
      </c>
      <c r="BE67" s="284">
        <v>0</v>
      </c>
      <c r="BF67" s="284">
        <v>0</v>
      </c>
      <c r="BG67" s="284">
        <v>0</v>
      </c>
      <c r="BH67" s="284">
        <v>0</v>
      </c>
      <c r="BI67" s="284">
        <v>0</v>
      </c>
      <c r="BJ67" s="284">
        <v>0</v>
      </c>
      <c r="BK67" s="284">
        <v>0</v>
      </c>
      <c r="BL67" s="284">
        <v>0</v>
      </c>
      <c r="BM67" s="284">
        <v>0</v>
      </c>
      <c r="BN67" s="284">
        <v>0</v>
      </c>
      <c r="BO67" s="284">
        <v>0</v>
      </c>
      <c r="BP67" s="284">
        <v>0</v>
      </c>
      <c r="BQ67" s="284">
        <v>0</v>
      </c>
      <c r="BR67" s="284">
        <v>0</v>
      </c>
      <c r="BS67" s="284">
        <v>0</v>
      </c>
      <c r="BT67" s="284">
        <v>0</v>
      </c>
      <c r="BU67" s="284">
        <v>0</v>
      </c>
      <c r="BV67" s="284">
        <v>0</v>
      </c>
      <c r="BW67" s="284">
        <v>0</v>
      </c>
      <c r="BX67" s="284">
        <v>0</v>
      </c>
      <c r="BY67" s="284">
        <v>0</v>
      </c>
      <c r="BZ67" s="284">
        <v>0</v>
      </c>
      <c r="CA67" s="284">
        <v>0</v>
      </c>
      <c r="CB67" s="284">
        <v>0</v>
      </c>
      <c r="CC67" s="284">
        <v>0</v>
      </c>
      <c r="CD67" s="284">
        <v>0</v>
      </c>
      <c r="CE67" s="284">
        <v>0</v>
      </c>
      <c r="CF67" s="284">
        <v>0</v>
      </c>
      <c r="CG67" s="284">
        <v>0</v>
      </c>
      <c r="CH67" s="284">
        <v>0</v>
      </c>
      <c r="CI67" s="284">
        <v>0</v>
      </c>
      <c r="CJ67" s="284">
        <v>0</v>
      </c>
      <c r="CK67" s="284">
        <v>0</v>
      </c>
      <c r="CL67" s="284">
        <v>0</v>
      </c>
      <c r="CM67" s="284">
        <v>0</v>
      </c>
      <c r="CN67" s="284">
        <v>0</v>
      </c>
      <c r="CO67" s="284">
        <v>0</v>
      </c>
      <c r="CP67" s="284">
        <v>0</v>
      </c>
      <c r="CQ67" s="284">
        <v>0</v>
      </c>
      <c r="CR67" s="284">
        <v>0</v>
      </c>
      <c r="CS67" s="284">
        <v>0</v>
      </c>
      <c r="CT67" s="284">
        <v>0</v>
      </c>
      <c r="CU67" s="284">
        <v>4235000</v>
      </c>
      <c r="CV67" s="284">
        <v>0</v>
      </c>
      <c r="CW67" s="284">
        <v>4235000</v>
      </c>
      <c r="CX67" s="284">
        <v>4235000</v>
      </c>
      <c r="CY67" s="284">
        <v>7700000</v>
      </c>
      <c r="CZ67" s="284">
        <v>4235000</v>
      </c>
      <c r="DA67" s="284">
        <v>4235000</v>
      </c>
      <c r="DB67" s="284">
        <v>4235000</v>
      </c>
      <c r="DC67" s="284">
        <v>0</v>
      </c>
      <c r="DD67" s="284">
        <v>0</v>
      </c>
      <c r="DE67" s="284">
        <v>0</v>
      </c>
      <c r="DF67" s="284">
        <v>0</v>
      </c>
      <c r="DG67" s="284">
        <v>0</v>
      </c>
      <c r="DH67" s="284">
        <v>0</v>
      </c>
      <c r="DI67" s="284">
        <v>0</v>
      </c>
      <c r="DJ67" s="284">
        <v>0</v>
      </c>
      <c r="DK67" s="284">
        <v>0</v>
      </c>
      <c r="DL67" s="284">
        <v>0</v>
      </c>
      <c r="DM67" s="284">
        <v>0</v>
      </c>
      <c r="DN67" s="284">
        <v>0</v>
      </c>
      <c r="DO67" s="284">
        <v>0</v>
      </c>
      <c r="DP67" s="284">
        <v>0</v>
      </c>
      <c r="DQ67" s="284">
        <v>0</v>
      </c>
      <c r="DR67" s="284">
        <v>0</v>
      </c>
      <c r="DS67" s="284">
        <v>2022</v>
      </c>
      <c r="DT67" s="284">
        <v>7</v>
      </c>
      <c r="DU67" s="284">
        <v>27</v>
      </c>
      <c r="DV67" s="284" t="s">
        <v>704</v>
      </c>
      <c r="DW67" s="284" t="s">
        <v>741</v>
      </c>
      <c r="DX67" s="284" t="s">
        <v>679</v>
      </c>
    </row>
    <row r="68" spans="1:128">
      <c r="A68" s="284">
        <v>93</v>
      </c>
      <c r="B68" s="284">
        <v>1348000</v>
      </c>
      <c r="C68" s="284">
        <v>0</v>
      </c>
      <c r="D68" s="284">
        <v>0</v>
      </c>
      <c r="E68" s="284">
        <v>0</v>
      </c>
      <c r="F68" s="284">
        <v>0</v>
      </c>
      <c r="G68" s="284">
        <v>0</v>
      </c>
      <c r="H68" s="284">
        <v>0</v>
      </c>
      <c r="I68" s="284">
        <v>0</v>
      </c>
      <c r="J68" s="284">
        <v>0</v>
      </c>
      <c r="K68" s="284">
        <v>0</v>
      </c>
      <c r="L68" s="284">
        <v>0</v>
      </c>
      <c r="M68" s="284">
        <v>0</v>
      </c>
      <c r="N68" s="284">
        <v>0</v>
      </c>
      <c r="O68" s="284">
        <v>0</v>
      </c>
      <c r="P68" s="284">
        <v>0</v>
      </c>
      <c r="Q68" s="284">
        <v>0</v>
      </c>
      <c r="R68" s="284">
        <v>0</v>
      </c>
      <c r="S68" s="284">
        <v>1348098</v>
      </c>
      <c r="T68" s="284">
        <v>0</v>
      </c>
      <c r="U68" s="284">
        <v>1348098</v>
      </c>
      <c r="V68" s="284">
        <v>1348098</v>
      </c>
      <c r="W68" s="284">
        <v>15811200</v>
      </c>
      <c r="X68" s="284">
        <v>1348098</v>
      </c>
      <c r="Y68" s="284">
        <v>1348098</v>
      </c>
      <c r="Z68" s="284">
        <v>1348000</v>
      </c>
      <c r="AA68" s="284">
        <v>0</v>
      </c>
      <c r="AB68" s="284">
        <v>0</v>
      </c>
      <c r="AC68" s="284">
        <v>0</v>
      </c>
      <c r="AD68" s="284">
        <v>0</v>
      </c>
      <c r="AE68" s="284">
        <v>0</v>
      </c>
      <c r="AF68" s="284">
        <v>0</v>
      </c>
      <c r="AG68" s="284">
        <v>0</v>
      </c>
      <c r="AH68" s="284">
        <v>0</v>
      </c>
      <c r="AI68" s="284">
        <v>0</v>
      </c>
      <c r="AJ68" s="284">
        <v>0</v>
      </c>
      <c r="AK68" s="284">
        <v>0</v>
      </c>
      <c r="AL68" s="284">
        <v>0</v>
      </c>
      <c r="AM68" s="284">
        <v>0</v>
      </c>
      <c r="AN68" s="284">
        <v>0</v>
      </c>
      <c r="AO68" s="284">
        <v>0</v>
      </c>
      <c r="AP68" s="284">
        <v>0</v>
      </c>
      <c r="AQ68" s="284">
        <v>0</v>
      </c>
      <c r="AR68" s="284">
        <v>0</v>
      </c>
      <c r="AS68" s="284">
        <v>0</v>
      </c>
      <c r="AT68" s="284">
        <v>0</v>
      </c>
      <c r="AU68" s="284">
        <v>0</v>
      </c>
      <c r="AV68" s="284">
        <v>0</v>
      </c>
      <c r="AW68" s="284">
        <v>0</v>
      </c>
      <c r="AX68" s="284">
        <v>0</v>
      </c>
      <c r="AY68" s="284">
        <v>0</v>
      </c>
      <c r="AZ68" s="284">
        <v>0</v>
      </c>
      <c r="BA68" s="284">
        <v>0</v>
      </c>
      <c r="BB68" s="284">
        <v>0</v>
      </c>
      <c r="BC68" s="284">
        <v>0</v>
      </c>
      <c r="BD68" s="284">
        <v>0</v>
      </c>
      <c r="BE68" s="284">
        <v>0</v>
      </c>
      <c r="BF68" s="284">
        <v>0</v>
      </c>
      <c r="BG68" s="284">
        <v>0</v>
      </c>
      <c r="BH68" s="284">
        <v>0</v>
      </c>
      <c r="BI68" s="284">
        <v>0</v>
      </c>
      <c r="BJ68" s="284">
        <v>0</v>
      </c>
      <c r="BK68" s="284">
        <v>0</v>
      </c>
      <c r="BL68" s="284">
        <v>0</v>
      </c>
      <c r="BM68" s="284">
        <v>0</v>
      </c>
      <c r="BN68" s="284">
        <v>0</v>
      </c>
      <c r="BO68" s="284">
        <v>0</v>
      </c>
      <c r="BP68" s="284">
        <v>0</v>
      </c>
      <c r="BQ68" s="284">
        <v>0</v>
      </c>
      <c r="BR68" s="284">
        <v>0</v>
      </c>
      <c r="BS68" s="284">
        <v>0</v>
      </c>
      <c r="BT68" s="284">
        <v>0</v>
      </c>
      <c r="BU68" s="284">
        <v>0</v>
      </c>
      <c r="BV68" s="284">
        <v>0</v>
      </c>
      <c r="BW68" s="284">
        <v>0</v>
      </c>
      <c r="BX68" s="284">
        <v>0</v>
      </c>
      <c r="BY68" s="284">
        <v>0</v>
      </c>
      <c r="BZ68" s="284">
        <v>0</v>
      </c>
      <c r="CA68" s="284">
        <v>0</v>
      </c>
      <c r="CB68" s="284">
        <v>0</v>
      </c>
      <c r="CC68" s="284">
        <v>0</v>
      </c>
      <c r="CD68" s="284">
        <v>0</v>
      </c>
      <c r="CE68" s="284">
        <v>0</v>
      </c>
      <c r="CF68" s="284">
        <v>0</v>
      </c>
      <c r="CG68" s="284">
        <v>0</v>
      </c>
      <c r="CH68" s="284">
        <v>0</v>
      </c>
      <c r="CI68" s="284">
        <v>0</v>
      </c>
      <c r="CJ68" s="284">
        <v>0</v>
      </c>
      <c r="CK68" s="284">
        <v>0</v>
      </c>
      <c r="CL68" s="284">
        <v>0</v>
      </c>
      <c r="CM68" s="284">
        <v>0</v>
      </c>
      <c r="CN68" s="284">
        <v>0</v>
      </c>
      <c r="CO68" s="284">
        <v>0</v>
      </c>
      <c r="CP68" s="284">
        <v>0</v>
      </c>
      <c r="CQ68" s="284">
        <v>0</v>
      </c>
      <c r="CR68" s="284">
        <v>0</v>
      </c>
      <c r="CS68" s="284">
        <v>0</v>
      </c>
      <c r="CT68" s="284">
        <v>0</v>
      </c>
      <c r="CU68" s="284">
        <v>0</v>
      </c>
      <c r="CV68" s="284">
        <v>0</v>
      </c>
      <c r="CW68" s="284">
        <v>0</v>
      </c>
      <c r="CX68" s="284">
        <v>0</v>
      </c>
      <c r="CY68" s="284">
        <v>0</v>
      </c>
      <c r="CZ68" s="284">
        <v>0</v>
      </c>
      <c r="DA68" s="284">
        <v>0</v>
      </c>
      <c r="DB68" s="284">
        <v>0</v>
      </c>
      <c r="DC68" s="284">
        <v>0</v>
      </c>
      <c r="DD68" s="284">
        <v>0</v>
      </c>
      <c r="DE68" s="284">
        <v>0</v>
      </c>
      <c r="DF68" s="284">
        <v>0</v>
      </c>
      <c r="DG68" s="284">
        <v>0</v>
      </c>
      <c r="DH68" s="284">
        <v>0</v>
      </c>
      <c r="DI68" s="284">
        <v>0</v>
      </c>
      <c r="DJ68" s="284">
        <v>0</v>
      </c>
      <c r="DK68" s="284">
        <v>0</v>
      </c>
      <c r="DL68" s="284">
        <v>0</v>
      </c>
      <c r="DM68" s="284">
        <v>0</v>
      </c>
      <c r="DN68" s="284">
        <v>0</v>
      </c>
      <c r="DO68" s="284">
        <v>0</v>
      </c>
      <c r="DP68" s="284">
        <v>0</v>
      </c>
      <c r="DQ68" s="284">
        <v>0</v>
      </c>
      <c r="DR68" s="284">
        <v>0</v>
      </c>
      <c r="DS68" s="284">
        <v>2022</v>
      </c>
      <c r="DT68" s="284">
        <v>7</v>
      </c>
      <c r="DU68" s="284">
        <v>27</v>
      </c>
      <c r="DV68" s="284" t="s">
        <v>729</v>
      </c>
      <c r="DW68" s="284" t="s">
        <v>742</v>
      </c>
      <c r="DX68" s="284" t="s">
        <v>679</v>
      </c>
    </row>
    <row r="69" spans="1:128">
      <c r="A69" s="284">
        <v>94</v>
      </c>
      <c r="B69" s="284">
        <v>187757000</v>
      </c>
      <c r="C69" s="284">
        <v>0</v>
      </c>
      <c r="D69" s="284">
        <v>0</v>
      </c>
      <c r="E69" s="284">
        <v>0</v>
      </c>
      <c r="F69" s="284">
        <v>0</v>
      </c>
      <c r="G69" s="284">
        <v>0</v>
      </c>
      <c r="H69" s="284">
        <v>0</v>
      </c>
      <c r="I69" s="284">
        <v>0</v>
      </c>
      <c r="J69" s="284">
        <v>0</v>
      </c>
      <c r="K69" s="284">
        <v>11998800</v>
      </c>
      <c r="L69" s="284">
        <v>0</v>
      </c>
      <c r="M69" s="284">
        <v>11998800</v>
      </c>
      <c r="N69" s="284">
        <v>11998800</v>
      </c>
      <c r="O69" s="284">
        <v>11998800</v>
      </c>
      <c r="P69" s="284">
        <v>11998800</v>
      </c>
      <c r="Q69" s="284">
        <v>11998800</v>
      </c>
      <c r="R69" s="284">
        <v>11998000</v>
      </c>
      <c r="S69" s="284">
        <v>17619950</v>
      </c>
      <c r="T69" s="284">
        <v>0</v>
      </c>
      <c r="U69" s="284">
        <v>17619950</v>
      </c>
      <c r="V69" s="284">
        <v>17619950</v>
      </c>
      <c r="W69" s="284">
        <v>23716800</v>
      </c>
      <c r="X69" s="284">
        <v>17619950</v>
      </c>
      <c r="Y69" s="284">
        <v>17619950</v>
      </c>
      <c r="Z69" s="284">
        <v>17619000</v>
      </c>
      <c r="AA69" s="284">
        <v>51840000</v>
      </c>
      <c r="AB69" s="284">
        <v>0</v>
      </c>
      <c r="AC69" s="284">
        <v>51840000</v>
      </c>
      <c r="AD69" s="284">
        <v>51840000</v>
      </c>
      <c r="AE69" s="284">
        <v>51840000</v>
      </c>
      <c r="AF69" s="284">
        <v>51840000</v>
      </c>
      <c r="AG69" s="284">
        <v>51840000</v>
      </c>
      <c r="AH69" s="284">
        <v>51840000</v>
      </c>
      <c r="AI69" s="284">
        <v>0</v>
      </c>
      <c r="AJ69" s="284">
        <v>0</v>
      </c>
      <c r="AK69" s="284">
        <v>0</v>
      </c>
      <c r="AL69" s="284">
        <v>0</v>
      </c>
      <c r="AM69" s="284">
        <v>0</v>
      </c>
      <c r="AN69" s="284">
        <v>0</v>
      </c>
      <c r="AO69" s="284">
        <v>0</v>
      </c>
      <c r="AP69" s="284">
        <v>0</v>
      </c>
      <c r="AQ69" s="284">
        <v>0</v>
      </c>
      <c r="AR69" s="284">
        <v>0</v>
      </c>
      <c r="AS69" s="284">
        <v>0</v>
      </c>
      <c r="AT69" s="284">
        <v>0</v>
      </c>
      <c r="AU69" s="284">
        <v>0</v>
      </c>
      <c r="AV69" s="284">
        <v>0</v>
      </c>
      <c r="AW69" s="284">
        <v>0</v>
      </c>
      <c r="AX69" s="284">
        <v>0</v>
      </c>
      <c r="AY69" s="284">
        <v>0</v>
      </c>
      <c r="AZ69" s="284">
        <v>0</v>
      </c>
      <c r="BA69" s="284">
        <v>0</v>
      </c>
      <c r="BB69" s="284">
        <v>0</v>
      </c>
      <c r="BC69" s="284">
        <v>0</v>
      </c>
      <c r="BD69" s="284">
        <v>0</v>
      </c>
      <c r="BE69" s="284">
        <v>0</v>
      </c>
      <c r="BF69" s="284">
        <v>0</v>
      </c>
      <c r="BG69" s="284">
        <v>8000000</v>
      </c>
      <c r="BH69" s="284">
        <v>0</v>
      </c>
      <c r="BI69" s="284">
        <v>8000000</v>
      </c>
      <c r="BJ69" s="284">
        <v>8000000</v>
      </c>
      <c r="BK69" s="284">
        <v>8000000</v>
      </c>
      <c r="BL69" s="284">
        <v>8000000</v>
      </c>
      <c r="BM69" s="284">
        <v>8000000</v>
      </c>
      <c r="BN69" s="284">
        <v>4000000</v>
      </c>
      <c r="BO69" s="284">
        <v>3300000</v>
      </c>
      <c r="BP69" s="284">
        <v>0</v>
      </c>
      <c r="BQ69" s="284">
        <v>3300000</v>
      </c>
      <c r="BR69" s="284">
        <v>3300000</v>
      </c>
      <c r="BS69" s="284">
        <v>33000000</v>
      </c>
      <c r="BT69" s="284">
        <v>3300000</v>
      </c>
      <c r="BU69" s="284">
        <v>3300000</v>
      </c>
      <c r="BV69" s="284">
        <v>3300000</v>
      </c>
      <c r="BW69" s="284">
        <v>0</v>
      </c>
      <c r="BX69" s="284">
        <v>0</v>
      </c>
      <c r="BY69" s="284">
        <v>0</v>
      </c>
      <c r="BZ69" s="284">
        <v>0</v>
      </c>
      <c r="CA69" s="284">
        <v>0</v>
      </c>
      <c r="CB69" s="284">
        <v>0</v>
      </c>
      <c r="CC69" s="284">
        <v>0</v>
      </c>
      <c r="CD69" s="284">
        <v>0</v>
      </c>
      <c r="CE69" s="284">
        <v>16500000</v>
      </c>
      <c r="CF69" s="284">
        <v>0</v>
      </c>
      <c r="CG69" s="284">
        <v>16500000</v>
      </c>
      <c r="CH69" s="284">
        <v>16500000</v>
      </c>
      <c r="CI69" s="284">
        <v>16500000</v>
      </c>
      <c r="CJ69" s="284">
        <v>16500000</v>
      </c>
      <c r="CK69" s="284">
        <v>16500000</v>
      </c>
      <c r="CL69" s="284">
        <v>16500000</v>
      </c>
      <c r="CM69" s="284">
        <v>66000000</v>
      </c>
      <c r="CN69" s="284">
        <v>0</v>
      </c>
      <c r="CO69" s="284">
        <v>66000000</v>
      </c>
      <c r="CP69" s="284">
        <v>66000000</v>
      </c>
      <c r="CQ69" s="284">
        <v>66000000</v>
      </c>
      <c r="CR69" s="284">
        <v>66000000</v>
      </c>
      <c r="CS69" s="284">
        <v>66000000</v>
      </c>
      <c r="CT69" s="284">
        <v>66000000</v>
      </c>
      <c r="CU69" s="284">
        <v>16500000</v>
      </c>
      <c r="CV69" s="284">
        <v>0</v>
      </c>
      <c r="CW69" s="284">
        <v>16500000</v>
      </c>
      <c r="CX69" s="284">
        <v>16500000</v>
      </c>
      <c r="CY69" s="284">
        <v>16500000</v>
      </c>
      <c r="CZ69" s="284">
        <v>16500000</v>
      </c>
      <c r="DA69" s="284">
        <v>16500000</v>
      </c>
      <c r="DB69" s="284">
        <v>16500000</v>
      </c>
      <c r="DC69" s="284">
        <v>0</v>
      </c>
      <c r="DD69" s="284">
        <v>0</v>
      </c>
      <c r="DE69" s="284">
        <v>0</v>
      </c>
      <c r="DF69" s="284">
        <v>0</v>
      </c>
      <c r="DG69" s="284">
        <v>0</v>
      </c>
      <c r="DH69" s="284">
        <v>0</v>
      </c>
      <c r="DI69" s="284">
        <v>0</v>
      </c>
      <c r="DJ69" s="284">
        <v>0</v>
      </c>
      <c r="DK69" s="284">
        <v>0</v>
      </c>
      <c r="DL69" s="284">
        <v>0</v>
      </c>
      <c r="DM69" s="284">
        <v>0</v>
      </c>
      <c r="DN69" s="284">
        <v>0</v>
      </c>
      <c r="DO69" s="284">
        <v>0</v>
      </c>
      <c r="DP69" s="284">
        <v>0</v>
      </c>
      <c r="DQ69" s="284">
        <v>0</v>
      </c>
      <c r="DR69" s="284">
        <v>0</v>
      </c>
      <c r="DS69" s="284">
        <v>2022</v>
      </c>
      <c r="DT69" s="284">
        <v>9</v>
      </c>
      <c r="DU69" s="284">
        <v>22</v>
      </c>
      <c r="DV69" s="284" t="s">
        <v>743</v>
      </c>
      <c r="DW69" s="284" t="s">
        <v>744</v>
      </c>
      <c r="DX69" s="284" t="s">
        <v>679</v>
      </c>
    </row>
    <row r="70" spans="1:128">
      <c r="A70" s="284">
        <v>95</v>
      </c>
      <c r="B70" s="284">
        <v>8066000</v>
      </c>
      <c r="C70" s="284">
        <v>1199230</v>
      </c>
      <c r="D70" s="284">
        <v>0</v>
      </c>
      <c r="E70" s="284">
        <v>1199230</v>
      </c>
      <c r="F70" s="284">
        <v>1199230</v>
      </c>
      <c r="G70" s="284">
        <v>1330000</v>
      </c>
      <c r="H70" s="284">
        <v>1199230</v>
      </c>
      <c r="I70" s="284">
        <v>1199230</v>
      </c>
      <c r="J70" s="284">
        <v>1199000</v>
      </c>
      <c r="K70" s="284">
        <v>0</v>
      </c>
      <c r="L70" s="284">
        <v>0</v>
      </c>
      <c r="M70" s="284">
        <v>0</v>
      </c>
      <c r="N70" s="284">
        <v>0</v>
      </c>
      <c r="O70" s="284">
        <v>0</v>
      </c>
      <c r="P70" s="284">
        <v>0</v>
      </c>
      <c r="Q70" s="284">
        <v>0</v>
      </c>
      <c r="R70" s="284">
        <v>0</v>
      </c>
      <c r="S70" s="284">
        <v>1257190</v>
      </c>
      <c r="T70" s="284">
        <v>0</v>
      </c>
      <c r="U70" s="284">
        <v>1257190</v>
      </c>
      <c r="V70" s="284">
        <v>1257190</v>
      </c>
      <c r="W70" s="284">
        <v>1324800</v>
      </c>
      <c r="X70" s="284">
        <v>1257190</v>
      </c>
      <c r="Y70" s="284">
        <v>1257190</v>
      </c>
      <c r="Z70" s="284">
        <v>1257000</v>
      </c>
      <c r="AA70" s="284">
        <v>5610000</v>
      </c>
      <c r="AB70" s="284">
        <v>0</v>
      </c>
      <c r="AC70" s="284">
        <v>5610000</v>
      </c>
      <c r="AD70" s="284">
        <v>5610000</v>
      </c>
      <c r="AE70" s="284">
        <v>43200000</v>
      </c>
      <c r="AF70" s="284">
        <v>5610000</v>
      </c>
      <c r="AG70" s="284">
        <v>5610000</v>
      </c>
      <c r="AH70" s="284">
        <v>5610000</v>
      </c>
      <c r="AI70" s="284">
        <v>0</v>
      </c>
      <c r="AJ70" s="284">
        <v>0</v>
      </c>
      <c r="AK70" s="284">
        <v>0</v>
      </c>
      <c r="AL70" s="284">
        <v>0</v>
      </c>
      <c r="AM70" s="284">
        <v>0</v>
      </c>
      <c r="AN70" s="284">
        <v>0</v>
      </c>
      <c r="AO70" s="284">
        <v>0</v>
      </c>
      <c r="AP70" s="284">
        <v>0</v>
      </c>
      <c r="AQ70" s="284">
        <v>0</v>
      </c>
      <c r="AR70" s="284">
        <v>0</v>
      </c>
      <c r="AS70" s="284">
        <v>0</v>
      </c>
      <c r="AT70" s="284">
        <v>0</v>
      </c>
      <c r="AU70" s="284">
        <v>0</v>
      </c>
      <c r="AV70" s="284">
        <v>0</v>
      </c>
      <c r="AW70" s="284">
        <v>0</v>
      </c>
      <c r="AX70" s="284">
        <v>0</v>
      </c>
      <c r="AY70" s="284">
        <v>0</v>
      </c>
      <c r="AZ70" s="284">
        <v>0</v>
      </c>
      <c r="BA70" s="284">
        <v>0</v>
      </c>
      <c r="BB70" s="284">
        <v>0</v>
      </c>
      <c r="BC70" s="284">
        <v>0</v>
      </c>
      <c r="BD70" s="284">
        <v>0</v>
      </c>
      <c r="BE70" s="284">
        <v>0</v>
      </c>
      <c r="BF70" s="284">
        <v>0</v>
      </c>
      <c r="BG70" s="284">
        <v>0</v>
      </c>
      <c r="BH70" s="284">
        <v>0</v>
      </c>
      <c r="BI70" s="284">
        <v>0</v>
      </c>
      <c r="BJ70" s="284">
        <v>0</v>
      </c>
      <c r="BK70" s="284">
        <v>0</v>
      </c>
      <c r="BL70" s="284">
        <v>0</v>
      </c>
      <c r="BM70" s="284">
        <v>0</v>
      </c>
      <c r="BN70" s="284">
        <v>0</v>
      </c>
      <c r="BO70" s="284">
        <v>0</v>
      </c>
      <c r="BP70" s="284">
        <v>0</v>
      </c>
      <c r="BQ70" s="284">
        <v>0</v>
      </c>
      <c r="BR70" s="284">
        <v>0</v>
      </c>
      <c r="BS70" s="284">
        <v>0</v>
      </c>
      <c r="BT70" s="284">
        <v>0</v>
      </c>
      <c r="BU70" s="284">
        <v>0</v>
      </c>
      <c r="BV70" s="284">
        <v>0</v>
      </c>
      <c r="BW70" s="284">
        <v>0</v>
      </c>
      <c r="BX70" s="284">
        <v>0</v>
      </c>
      <c r="BY70" s="284">
        <v>0</v>
      </c>
      <c r="BZ70" s="284">
        <v>0</v>
      </c>
      <c r="CA70" s="284">
        <v>0</v>
      </c>
      <c r="CB70" s="284">
        <v>0</v>
      </c>
      <c r="CC70" s="284">
        <v>0</v>
      </c>
      <c r="CD70" s="284">
        <v>0</v>
      </c>
      <c r="CE70" s="284">
        <v>0</v>
      </c>
      <c r="CF70" s="284">
        <v>0</v>
      </c>
      <c r="CG70" s="284">
        <v>0</v>
      </c>
      <c r="CH70" s="284">
        <v>0</v>
      </c>
      <c r="CI70" s="284">
        <v>0</v>
      </c>
      <c r="CJ70" s="284">
        <v>0</v>
      </c>
      <c r="CK70" s="284">
        <v>0</v>
      </c>
      <c r="CL70" s="284">
        <v>0</v>
      </c>
      <c r="CM70" s="284">
        <v>0</v>
      </c>
      <c r="CN70" s="284">
        <v>0</v>
      </c>
      <c r="CO70" s="284">
        <v>0</v>
      </c>
      <c r="CP70" s="284">
        <v>0</v>
      </c>
      <c r="CQ70" s="284">
        <v>0</v>
      </c>
      <c r="CR70" s="284">
        <v>0</v>
      </c>
      <c r="CS70" s="284">
        <v>0</v>
      </c>
      <c r="CT70" s="284">
        <v>0</v>
      </c>
      <c r="CU70" s="284">
        <v>0</v>
      </c>
      <c r="CV70" s="284">
        <v>0</v>
      </c>
      <c r="CW70" s="284">
        <v>0</v>
      </c>
      <c r="CX70" s="284">
        <v>0</v>
      </c>
      <c r="CY70" s="284">
        <v>0</v>
      </c>
      <c r="CZ70" s="284">
        <v>0</v>
      </c>
      <c r="DA70" s="284">
        <v>0</v>
      </c>
      <c r="DB70" s="284">
        <v>0</v>
      </c>
      <c r="DC70" s="284">
        <v>0</v>
      </c>
      <c r="DD70" s="284">
        <v>0</v>
      </c>
      <c r="DE70" s="284">
        <v>0</v>
      </c>
      <c r="DF70" s="284">
        <v>0</v>
      </c>
      <c r="DG70" s="284">
        <v>0</v>
      </c>
      <c r="DH70" s="284">
        <v>0</v>
      </c>
      <c r="DI70" s="284">
        <v>0</v>
      </c>
      <c r="DJ70" s="284">
        <v>0</v>
      </c>
      <c r="DK70" s="284">
        <v>0</v>
      </c>
      <c r="DL70" s="284">
        <v>0</v>
      </c>
      <c r="DM70" s="284">
        <v>0</v>
      </c>
      <c r="DN70" s="284">
        <v>0</v>
      </c>
      <c r="DO70" s="284">
        <v>0</v>
      </c>
      <c r="DP70" s="284">
        <v>0</v>
      </c>
      <c r="DQ70" s="284">
        <v>0</v>
      </c>
      <c r="DR70" s="284">
        <v>0</v>
      </c>
      <c r="DS70" s="284">
        <v>2022</v>
      </c>
      <c r="DT70" s="284">
        <v>9</v>
      </c>
      <c r="DU70" s="284">
        <v>22</v>
      </c>
      <c r="DV70" s="284" t="s">
        <v>686</v>
      </c>
      <c r="DW70" s="284" t="s">
        <v>745</v>
      </c>
      <c r="DX70" s="284" t="s">
        <v>679</v>
      </c>
    </row>
  </sheetData>
  <phoneticPr fontId="5"/>
  <pageMargins left="0.7" right="0.7" top="0.75" bottom="0.75" header="0.3" footer="0.3"/>
  <pageSetup paperSize="9" scale="10" fitToHeight="0"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F74"/>
  <sheetViews>
    <sheetView showGridLines="0" view="pageBreakPreview"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463</v>
      </c>
      <c r="C2" s="865"/>
      <c r="D2" s="866"/>
      <c r="H2" s="303" t="s">
        <v>631</v>
      </c>
      <c r="I2" s="105" t="s">
        <v>632</v>
      </c>
      <c r="J2" s="303" t="s">
        <v>63</v>
      </c>
      <c r="L2" s="105" t="str">
        <f>VLOOKUP(B2,テーブル!H37:J51,3,FALSE)</f>
        <v>様式2-6</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80.150000000000006" customHeight="1">
      <c r="A14" s="21"/>
      <c r="B14" s="875" t="str">
        <f>VLOOKUP(B2,テーブル!H37:I51,2,FALSE)</f>
        <v>（例）当院は重点医療機関として特に重篤な呼吸器不全等の症状を呈する患者の受け入れを行っている。直近の第７波で主流であったオミクロンBA５は弱毒化した変異株であると言われているが、当院に搬送される患者の多くが高齢者及びコロナ感染が重態化を引き起こしかねないステージ○以上のがん患者等で占められており、既存のECMOでは台数が足りず、遠隔地の重点医療機関への協力の要請をせざるを得ない状況が生じた。（該当ケースの日付はじめ経緯については別紙のとおり。）ついてはこれまで生じた受け入れを断らざるを得なかったケース実績を踏まえ、○台を新たに未整備の確保病床に整備することとしたい。</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hidden="1">
      <c r="A33" s="16">
        <v>4</v>
      </c>
      <c r="B33" s="10"/>
      <c r="C33" s="10"/>
      <c r="D33" s="10"/>
      <c r="E33" s="14"/>
      <c r="F33" s="11"/>
      <c r="G33" s="12"/>
      <c r="H33" s="25">
        <f t="shared" si="0"/>
        <v>0</v>
      </c>
      <c r="I33" s="8">
        <f t="shared" si="1"/>
        <v>0</v>
      </c>
      <c r="J33" s="13"/>
      <c r="K33" s="8">
        <f t="shared" si="2"/>
        <v>0</v>
      </c>
      <c r="L33" s="9" t="str">
        <f>IF(Z33="◎",COUNTIF($Z$30:Z33,"◎"),"")</f>
        <v/>
      </c>
      <c r="W33" s="106" t="str">
        <f>IF(B33="既設病床",はじめに入力してください!$K$12,IF(B33="新設病床",はじめに入力してください!$K$13,IF(B33="共通使用",1,"")))</f>
        <v/>
      </c>
      <c r="Y33" s="16">
        <v>4</v>
      </c>
      <c r="Z33" s="105" t="str">
        <f t="shared" si="3"/>
        <v>○</v>
      </c>
      <c r="AA33" s="106" t="str">
        <f t="shared" si="4"/>
        <v>整備しない場合は入力不要です。</v>
      </c>
    </row>
    <row r="34" spans="1:27" hidden="1">
      <c r="A34" s="16">
        <v>5</v>
      </c>
      <c r="B34" s="10"/>
      <c r="C34" s="10"/>
      <c r="D34" s="10"/>
      <c r="E34" s="14"/>
      <c r="F34" s="11"/>
      <c r="G34" s="12"/>
      <c r="H34" s="25">
        <f t="shared" si="0"/>
        <v>0</v>
      </c>
      <c r="I34" s="8">
        <f t="shared" si="1"/>
        <v>0</v>
      </c>
      <c r="J34" s="13"/>
      <c r="K34" s="8">
        <f t="shared" si="2"/>
        <v>0</v>
      </c>
      <c r="L34" s="9" t="str">
        <f>IF(Z34="◎",COUNTIF($Z$30:Z34,"◎"),"")</f>
        <v/>
      </c>
      <c r="W34" s="106" t="str">
        <f>IF(B34="既設病床",はじめに入力してください!$K$12,IF(B34="新設病床",はじめに入力してください!$K$13,IF(B34="共通使用",1,"")))</f>
        <v/>
      </c>
      <c r="Y34" s="16">
        <v>5</v>
      </c>
      <c r="Z34" s="105" t="str">
        <f t="shared" si="3"/>
        <v>○</v>
      </c>
      <c r="AA34" s="106" t="str">
        <f t="shared" si="4"/>
        <v>整備しない場合は入力不要です。</v>
      </c>
    </row>
    <row r="35" spans="1:27" hidden="1">
      <c r="A35" s="16">
        <v>6</v>
      </c>
      <c r="B35" s="10"/>
      <c r="C35" s="10"/>
      <c r="D35" s="10"/>
      <c r="E35" s="14"/>
      <c r="F35" s="11"/>
      <c r="G35" s="12"/>
      <c r="H35" s="25">
        <f t="shared" si="0"/>
        <v>0</v>
      </c>
      <c r="I35" s="8">
        <f t="shared" si="1"/>
        <v>0</v>
      </c>
      <c r="J35" s="13"/>
      <c r="K35" s="8">
        <f t="shared" si="2"/>
        <v>0</v>
      </c>
      <c r="L35" s="9" t="str">
        <f>IF(Z35="◎",COUNTIF($Z$30:Z35,"◎"),"")</f>
        <v/>
      </c>
      <c r="W35" s="106" t="str">
        <f>IF(B35="既設病床",はじめに入力してください!$K$12,IF(B35="新設病床",はじめに入力してください!$K$13,IF(B35="共通使用",1,"")))</f>
        <v/>
      </c>
      <c r="Y35" s="16">
        <v>6</v>
      </c>
      <c r="Z35" s="105" t="str">
        <f t="shared" si="3"/>
        <v>○</v>
      </c>
      <c r="AA35" s="106" t="str">
        <f t="shared" si="4"/>
        <v>整備しない場合は入力不要です。</v>
      </c>
    </row>
    <row r="36" spans="1:27" hidden="1">
      <c r="A36" s="16">
        <v>7</v>
      </c>
      <c r="B36" s="10"/>
      <c r="C36" s="10"/>
      <c r="D36" s="10"/>
      <c r="E36" s="14"/>
      <c r="F36" s="11"/>
      <c r="G36" s="12"/>
      <c r="H36" s="25">
        <f t="shared" si="0"/>
        <v>0</v>
      </c>
      <c r="I36" s="8">
        <f t="shared" si="1"/>
        <v>0</v>
      </c>
      <c r="J36" s="13"/>
      <c r="K36" s="8">
        <f t="shared" si="2"/>
        <v>0</v>
      </c>
      <c r="L36" s="9" t="str">
        <f>IF(Z36="◎",COUNTIF($Z$30:Z36,"◎"),"")</f>
        <v/>
      </c>
      <c r="W36" s="106" t="str">
        <f>IF(B36="既設病床",はじめに入力してください!$K$12,IF(B36="新設病床",はじめに入力してください!$K$13,IF(B36="共通使用",1,"")))</f>
        <v/>
      </c>
      <c r="Y36" s="16">
        <v>7</v>
      </c>
      <c r="Z36" s="105" t="str">
        <f t="shared" si="3"/>
        <v>○</v>
      </c>
      <c r="AA36" s="106" t="str">
        <f t="shared" si="4"/>
        <v>整備しない場合は入力不要です。</v>
      </c>
    </row>
    <row r="37" spans="1:27" hidden="1">
      <c r="A37" s="16">
        <v>8</v>
      </c>
      <c r="B37" s="10"/>
      <c r="C37" s="10"/>
      <c r="D37" s="10"/>
      <c r="E37" s="14"/>
      <c r="F37" s="11"/>
      <c r="G37" s="12"/>
      <c r="H37" s="25">
        <f t="shared" si="0"/>
        <v>0</v>
      </c>
      <c r="I37" s="8">
        <f t="shared" si="1"/>
        <v>0</v>
      </c>
      <c r="J37" s="13"/>
      <c r="K37" s="8">
        <f t="shared" si="2"/>
        <v>0</v>
      </c>
      <c r="L37" s="9" t="str">
        <f>IF(Z37="◎",COUNTIF($Z$30:Z37,"◎"),"")</f>
        <v/>
      </c>
      <c r="W37" s="106" t="str">
        <f>IF(B37="既設病床",はじめに入力してください!$K$12,IF(B37="新設病床",はじめに入力してください!$K$13,IF(B37="共通使用",1,"")))</f>
        <v/>
      </c>
      <c r="Y37" s="16">
        <v>8</v>
      </c>
      <c r="Z37" s="105" t="str">
        <f t="shared" si="3"/>
        <v>○</v>
      </c>
      <c r="AA37" s="106" t="str">
        <f t="shared" si="4"/>
        <v>整備しない場合は入力不要です。</v>
      </c>
    </row>
    <row r="38" spans="1:27" hidden="1">
      <c r="A38" s="16">
        <v>9</v>
      </c>
      <c r="B38" s="10"/>
      <c r="C38" s="10"/>
      <c r="D38" s="10"/>
      <c r="E38" s="14"/>
      <c r="F38" s="11"/>
      <c r="G38" s="12"/>
      <c r="H38" s="25">
        <f t="shared" si="0"/>
        <v>0</v>
      </c>
      <c r="I38" s="8">
        <f t="shared" si="1"/>
        <v>0</v>
      </c>
      <c r="J38" s="13"/>
      <c r="K38" s="8">
        <f t="shared" si="2"/>
        <v>0</v>
      </c>
      <c r="L38" s="9" t="str">
        <f>IF(Z38="◎",COUNTIF($Z$30:Z38,"◎"),"")</f>
        <v/>
      </c>
      <c r="W38" s="106" t="str">
        <f>IF(B38="既設病床",はじめに入力してください!$K$12,IF(B38="新設病床",はじめに入力してください!$K$13,IF(B38="共通使用",1,"")))</f>
        <v/>
      </c>
      <c r="Y38" s="16">
        <v>9</v>
      </c>
      <c r="Z38" s="105" t="str">
        <f t="shared" si="3"/>
        <v>○</v>
      </c>
      <c r="AA38" s="106" t="str">
        <f t="shared" si="4"/>
        <v>整備しない場合は入力不要です。</v>
      </c>
    </row>
    <row r="39" spans="1:27" hidden="1">
      <c r="A39" s="16">
        <v>10</v>
      </c>
      <c r="B39" s="10"/>
      <c r="C39" s="10"/>
      <c r="D39" s="10"/>
      <c r="E39" s="14"/>
      <c r="F39" s="11"/>
      <c r="G39" s="12"/>
      <c r="H39" s="25">
        <f t="shared" si="0"/>
        <v>0</v>
      </c>
      <c r="I39" s="8">
        <f t="shared" si="1"/>
        <v>0</v>
      </c>
      <c r="J39" s="13"/>
      <c r="K39" s="8">
        <f t="shared" si="2"/>
        <v>0</v>
      </c>
      <c r="L39" s="9" t="str">
        <f>IF(Z39="◎",COUNTIF($Z$30:Z39,"◎"),"")</f>
        <v/>
      </c>
      <c r="W39" s="106" t="str">
        <f>IF(B39="既設病床",はじめに入力してください!$K$12,IF(B39="新設病床",はじめに入力してください!$K$13,IF(B39="共通使用",1,"")))</f>
        <v/>
      </c>
      <c r="Y39" s="16">
        <v>10</v>
      </c>
      <c r="Z39" s="105" t="str">
        <f t="shared" si="3"/>
        <v>○</v>
      </c>
      <c r="AA39" s="106" t="str">
        <f t="shared" si="4"/>
        <v>整備しない場合は入力不要です。</v>
      </c>
    </row>
    <row r="40" spans="1:27" hidden="1">
      <c r="A40" s="16">
        <v>11</v>
      </c>
      <c r="B40" s="10"/>
      <c r="C40" s="10"/>
      <c r="D40" s="10"/>
      <c r="E40" s="14"/>
      <c r="F40" s="11"/>
      <c r="G40" s="12"/>
      <c r="H40" s="25">
        <f t="shared" si="0"/>
        <v>0</v>
      </c>
      <c r="I40" s="8">
        <f t="shared" si="1"/>
        <v>0</v>
      </c>
      <c r="J40" s="13"/>
      <c r="K40" s="8">
        <f t="shared" si="2"/>
        <v>0</v>
      </c>
      <c r="L40" s="9" t="str">
        <f>IF(Z40="◎",COUNTIF($Z$30:Z40,"◎"),"")</f>
        <v/>
      </c>
      <c r="W40" s="106" t="str">
        <f>IF(B40="既設病床",はじめに入力してください!$K$12,IF(B40="新設病床",はじめに入力してください!$K$13,IF(B40="共通使用",1,"")))</f>
        <v/>
      </c>
      <c r="Y40" s="16">
        <v>11</v>
      </c>
      <c r="Z40" s="105" t="str">
        <f t="shared" si="3"/>
        <v>○</v>
      </c>
      <c r="AA40" s="106" t="str">
        <f t="shared" si="4"/>
        <v>整備しない場合は入力不要です。</v>
      </c>
    </row>
    <row r="41" spans="1:27" hidden="1">
      <c r="A41" s="16">
        <v>12</v>
      </c>
      <c r="B41" s="10"/>
      <c r="C41" s="10"/>
      <c r="D41" s="10"/>
      <c r="E41" s="14"/>
      <c r="F41" s="11"/>
      <c r="G41" s="12"/>
      <c r="H41" s="25">
        <f t="shared" si="0"/>
        <v>0</v>
      </c>
      <c r="I41" s="8">
        <f t="shared" si="1"/>
        <v>0</v>
      </c>
      <c r="J41" s="13"/>
      <c r="K41" s="8">
        <f t="shared" si="2"/>
        <v>0</v>
      </c>
      <c r="L41" s="9" t="str">
        <f>IF(Z41="◎",COUNTIF($Z$30:Z41,"◎"),"")</f>
        <v/>
      </c>
      <c r="W41" s="106" t="str">
        <f>IF(B41="既設病床",はじめに入力してください!$K$12,IF(B41="新設病床",はじめに入力してください!$K$13,IF(B41="共通使用",1,"")))</f>
        <v/>
      </c>
      <c r="Y41" s="16">
        <v>12</v>
      </c>
      <c r="Z41" s="105" t="str">
        <f t="shared" si="3"/>
        <v>○</v>
      </c>
      <c r="AA41" s="106" t="str">
        <f t="shared" si="4"/>
        <v>整備しない場合は入力不要です。</v>
      </c>
    </row>
    <row r="42" spans="1:27" hidden="1">
      <c r="A42" s="16">
        <v>13</v>
      </c>
      <c r="B42" s="10"/>
      <c r="C42" s="10"/>
      <c r="D42" s="10"/>
      <c r="E42" s="14"/>
      <c r="F42" s="11"/>
      <c r="G42" s="12"/>
      <c r="H42" s="25">
        <f t="shared" si="0"/>
        <v>0</v>
      </c>
      <c r="I42" s="8">
        <f t="shared" si="1"/>
        <v>0</v>
      </c>
      <c r="J42" s="13"/>
      <c r="K42" s="8">
        <f t="shared" si="2"/>
        <v>0</v>
      </c>
      <c r="L42" s="9" t="str">
        <f>IF(Z42="◎",COUNTIF($Z$30:Z42,"◎"),"")</f>
        <v/>
      </c>
      <c r="W42" s="106" t="str">
        <f>IF(B42="既設病床",はじめに入力してください!$K$12,IF(B42="新設病床",はじめに入力してください!$K$13,IF(B42="共通使用",1,"")))</f>
        <v/>
      </c>
      <c r="Y42" s="16">
        <v>13</v>
      </c>
      <c r="Z42" s="105" t="str">
        <f t="shared" si="3"/>
        <v>○</v>
      </c>
      <c r="AA42" s="106" t="str">
        <f t="shared" si="4"/>
        <v>整備しない場合は入力不要です。</v>
      </c>
    </row>
    <row r="43" spans="1:27" hidden="1">
      <c r="A43" s="16">
        <v>14</v>
      </c>
      <c r="B43" s="10"/>
      <c r="C43" s="10"/>
      <c r="D43" s="10"/>
      <c r="E43" s="14"/>
      <c r="F43" s="11"/>
      <c r="G43" s="12"/>
      <c r="H43" s="25">
        <f t="shared" si="0"/>
        <v>0</v>
      </c>
      <c r="I43" s="8">
        <f t="shared" si="1"/>
        <v>0</v>
      </c>
      <c r="J43" s="13"/>
      <c r="K43" s="8">
        <f t="shared" si="2"/>
        <v>0</v>
      </c>
      <c r="L43" s="9" t="str">
        <f>IF(Z43="◎",COUNTIF($Z$30:Z43,"◎"),"")</f>
        <v/>
      </c>
      <c r="W43" s="106" t="str">
        <f>IF(B43="既設病床",はじめに入力してください!$K$12,IF(B43="新設病床",はじめに入力してください!$K$13,IF(B43="共通使用",1,"")))</f>
        <v/>
      </c>
      <c r="Y43" s="16">
        <v>14</v>
      </c>
      <c r="Z43" s="105" t="str">
        <f t="shared" si="3"/>
        <v>○</v>
      </c>
      <c r="AA43" s="106" t="str">
        <f t="shared" si="4"/>
        <v>整備しない場合は入力不要です。</v>
      </c>
    </row>
    <row r="44" spans="1:27" hidden="1">
      <c r="A44" s="16">
        <v>15</v>
      </c>
      <c r="B44" s="10"/>
      <c r="C44" s="10"/>
      <c r="D44" s="10"/>
      <c r="E44" s="14"/>
      <c r="F44" s="11"/>
      <c r="G44" s="12"/>
      <c r="H44" s="25">
        <f t="shared" si="0"/>
        <v>0</v>
      </c>
      <c r="I44" s="8">
        <f t="shared" si="1"/>
        <v>0</v>
      </c>
      <c r="J44" s="13"/>
      <c r="K44" s="8">
        <f t="shared" si="2"/>
        <v>0</v>
      </c>
      <c r="L44" s="9" t="str">
        <f>IF(Z44="◎",COUNTIF($Z$30:Z44,"◎"),"")</f>
        <v/>
      </c>
      <c r="W44" s="106" t="str">
        <f>IF(B44="既設病床",はじめに入力してください!$K$12,IF(B44="新設病床",はじめに入力してください!$K$13,IF(B44="共通使用",1,"")))</f>
        <v/>
      </c>
      <c r="Y44" s="16">
        <v>15</v>
      </c>
      <c r="Z44" s="105" t="str">
        <f t="shared" si="3"/>
        <v>○</v>
      </c>
      <c r="AA44" s="106" t="str">
        <f t="shared" si="4"/>
        <v>整備しない場合は入力不要です。</v>
      </c>
    </row>
    <row r="45" spans="1:27" hidden="1">
      <c r="A45" s="16">
        <v>16</v>
      </c>
      <c r="B45" s="10"/>
      <c r="C45" s="10"/>
      <c r="D45" s="10"/>
      <c r="E45" s="14"/>
      <c r="F45" s="11"/>
      <c r="G45" s="12"/>
      <c r="H45" s="25">
        <f t="shared" si="0"/>
        <v>0</v>
      </c>
      <c r="I45" s="8">
        <f t="shared" si="1"/>
        <v>0</v>
      </c>
      <c r="J45" s="13"/>
      <c r="K45" s="8">
        <f t="shared" si="2"/>
        <v>0</v>
      </c>
      <c r="L45" s="9" t="str">
        <f>IF(Z45="◎",COUNTIF($Z$30:Z45,"◎"),"")</f>
        <v/>
      </c>
      <c r="W45" s="106" t="str">
        <f>IF(B45="既設病床",はじめに入力してください!$K$12,IF(B45="新設病床",はじめに入力してください!$K$13,IF(B45="共通使用",1,"")))</f>
        <v/>
      </c>
      <c r="Y45" s="16">
        <v>16</v>
      </c>
      <c r="Z45" s="105" t="str">
        <f t="shared" si="3"/>
        <v>○</v>
      </c>
      <c r="AA45" s="106" t="str">
        <f t="shared" si="4"/>
        <v>整備しない場合は入力不要です。</v>
      </c>
    </row>
    <row r="46" spans="1:27" hidden="1">
      <c r="A46" s="16">
        <v>17</v>
      </c>
      <c r="B46" s="10"/>
      <c r="C46" s="10"/>
      <c r="D46" s="10"/>
      <c r="E46" s="14"/>
      <c r="F46" s="11"/>
      <c r="G46" s="12"/>
      <c r="H46" s="25">
        <f t="shared" si="0"/>
        <v>0</v>
      </c>
      <c r="I46" s="8">
        <f t="shared" si="1"/>
        <v>0</v>
      </c>
      <c r="J46" s="13"/>
      <c r="K46" s="8">
        <f t="shared" si="2"/>
        <v>0</v>
      </c>
      <c r="L46" s="9" t="str">
        <f>IF(Z46="◎",COUNTIF($Z$30:Z46,"◎"),"")</f>
        <v/>
      </c>
      <c r="W46" s="106" t="str">
        <f>IF(B46="既設病床",はじめに入力してください!$K$12,IF(B46="新設病床",はじめに入力してください!$K$13,IF(B46="共通使用",1,"")))</f>
        <v/>
      </c>
      <c r="Y46" s="16">
        <v>17</v>
      </c>
      <c r="Z46" s="105" t="str">
        <f t="shared" si="3"/>
        <v>○</v>
      </c>
      <c r="AA46" s="106" t="str">
        <f t="shared" si="4"/>
        <v>整備しない場合は入力不要です。</v>
      </c>
    </row>
    <row r="47" spans="1:27" hidden="1">
      <c r="A47" s="16">
        <v>18</v>
      </c>
      <c r="B47" s="10"/>
      <c r="C47" s="10"/>
      <c r="D47" s="10"/>
      <c r="E47" s="14"/>
      <c r="F47" s="11"/>
      <c r="G47" s="12"/>
      <c r="H47" s="25">
        <f t="shared" si="0"/>
        <v>0</v>
      </c>
      <c r="I47" s="8">
        <f t="shared" si="1"/>
        <v>0</v>
      </c>
      <c r="J47" s="13"/>
      <c r="K47" s="8">
        <f t="shared" si="2"/>
        <v>0</v>
      </c>
      <c r="L47" s="9" t="str">
        <f>IF(Z47="◎",COUNTIF($Z$30:Z47,"◎"),"")</f>
        <v/>
      </c>
      <c r="W47" s="106" t="str">
        <f>IF(B47="既設病床",はじめに入力してください!$K$12,IF(B47="新設病床",はじめに入力してください!$K$13,IF(B47="共通使用",1,"")))</f>
        <v/>
      </c>
      <c r="Y47" s="16">
        <v>18</v>
      </c>
      <c r="Z47" s="105" t="str">
        <f t="shared" si="3"/>
        <v>○</v>
      </c>
      <c r="AA47" s="106" t="str">
        <f t="shared" si="4"/>
        <v>整備しない場合は入力不要です。</v>
      </c>
    </row>
    <row r="48" spans="1:27" hidden="1">
      <c r="A48" s="16">
        <v>19</v>
      </c>
      <c r="B48" s="10"/>
      <c r="C48" s="10"/>
      <c r="D48" s="10"/>
      <c r="E48" s="14"/>
      <c r="F48" s="11"/>
      <c r="G48" s="12"/>
      <c r="H48" s="25">
        <f t="shared" si="0"/>
        <v>0</v>
      </c>
      <c r="I48" s="8">
        <f t="shared" si="1"/>
        <v>0</v>
      </c>
      <c r="J48" s="13"/>
      <c r="K48" s="8">
        <f t="shared" si="2"/>
        <v>0</v>
      </c>
      <c r="L48" s="9" t="str">
        <f>IF(Z48="◎",COUNTIF($Z$30:Z48,"◎"),"")</f>
        <v/>
      </c>
      <c r="W48" s="106" t="str">
        <f>IF(B48="既設病床",はじめに入力してください!$K$12,IF(B48="新設病床",はじめに入力してください!$K$13,IF(B48="共通使用",1,"")))</f>
        <v/>
      </c>
      <c r="Y48" s="16">
        <v>19</v>
      </c>
      <c r="Z48" s="105" t="str">
        <f t="shared" si="3"/>
        <v>○</v>
      </c>
      <c r="AA48" s="106" t="str">
        <f t="shared" si="4"/>
        <v>整備しない場合は入力不要です。</v>
      </c>
    </row>
    <row r="49" spans="1:27" hidden="1">
      <c r="A49" s="16">
        <v>20</v>
      </c>
      <c r="B49" s="10"/>
      <c r="C49" s="10"/>
      <c r="D49" s="10"/>
      <c r="E49" s="14"/>
      <c r="F49" s="11"/>
      <c r="G49" s="12"/>
      <c r="H49" s="25">
        <f t="shared" si="0"/>
        <v>0</v>
      </c>
      <c r="I49" s="8">
        <f t="shared" si="1"/>
        <v>0</v>
      </c>
      <c r="J49" s="13"/>
      <c r="K49" s="8">
        <f t="shared" si="2"/>
        <v>0</v>
      </c>
      <c r="L49" s="9" t="str">
        <f>IF(Z49="◎",COUNTIF($Z$30:Z49,"◎"),"")</f>
        <v/>
      </c>
      <c r="W49" s="106" t="str">
        <f>IF(B49="既設病床",はじめに入力してください!$K$12,IF(B49="新設病床",はじめに入力してください!$K$13,IF(B49="共通使用",1,"")))</f>
        <v/>
      </c>
      <c r="Y49" s="16">
        <v>20</v>
      </c>
      <c r="Z49" s="105" t="str">
        <f t="shared" si="3"/>
        <v>○</v>
      </c>
      <c r="AA49" s="106" t="str">
        <f t="shared" si="4"/>
        <v>整備しない場合は入力不要です。</v>
      </c>
    </row>
    <row r="50" spans="1:27" hidden="1">
      <c r="A50" s="16">
        <v>21</v>
      </c>
      <c r="B50" s="10"/>
      <c r="C50" s="10"/>
      <c r="D50" s="10"/>
      <c r="E50" s="14"/>
      <c r="F50" s="11"/>
      <c r="G50" s="12"/>
      <c r="H50" s="25">
        <f t="shared" si="0"/>
        <v>0</v>
      </c>
      <c r="I50" s="8">
        <f t="shared" si="1"/>
        <v>0</v>
      </c>
      <c r="J50" s="13"/>
      <c r="K50" s="8">
        <f t="shared" si="2"/>
        <v>0</v>
      </c>
      <c r="L50" s="9" t="str">
        <f>IF(Z50="◎",COUNTIF($Z$30:Z50,"◎"),"")</f>
        <v/>
      </c>
      <c r="W50" s="106" t="str">
        <f>IF(B50="既設病床",はじめに入力してください!$K$12,IF(B50="新設病床",はじめに入力してください!$K$13,IF(B50="共通使用",1,"")))</f>
        <v/>
      </c>
      <c r="Y50" s="16">
        <v>21</v>
      </c>
      <c r="Z50" s="105" t="str">
        <f t="shared" si="3"/>
        <v>○</v>
      </c>
      <c r="AA50" s="106" t="str">
        <f t="shared" si="4"/>
        <v>整備しない場合は入力不要です。</v>
      </c>
    </row>
    <row r="51" spans="1:27" hidden="1">
      <c r="A51" s="16">
        <v>22</v>
      </c>
      <c r="B51" s="10"/>
      <c r="C51" s="10"/>
      <c r="D51" s="10"/>
      <c r="E51" s="14"/>
      <c r="F51" s="11"/>
      <c r="G51" s="12"/>
      <c r="H51" s="25">
        <f t="shared" si="0"/>
        <v>0</v>
      </c>
      <c r="I51" s="8">
        <f t="shared" si="1"/>
        <v>0</v>
      </c>
      <c r="J51" s="13"/>
      <c r="K51" s="8">
        <f t="shared" si="2"/>
        <v>0</v>
      </c>
      <c r="L51" s="9" t="str">
        <f>IF(Z51="◎",COUNTIF($Z$30:Z51,"◎"),"")</f>
        <v/>
      </c>
      <c r="W51" s="106" t="str">
        <f>IF(B51="既設病床",はじめに入力してください!$K$12,IF(B51="新設病床",はじめに入力してください!$K$13,IF(B51="共通使用",1,"")))</f>
        <v/>
      </c>
      <c r="Y51" s="16">
        <v>22</v>
      </c>
      <c r="Z51" s="105" t="str">
        <f t="shared" si="3"/>
        <v>○</v>
      </c>
      <c r="AA51" s="106" t="str">
        <f t="shared" si="4"/>
        <v>整備しない場合は入力不要です。</v>
      </c>
    </row>
    <row r="52" spans="1:27" hidden="1">
      <c r="A52" s="16">
        <v>23</v>
      </c>
      <c r="B52" s="10"/>
      <c r="C52" s="10"/>
      <c r="D52" s="10"/>
      <c r="E52" s="14"/>
      <c r="F52" s="11"/>
      <c r="G52" s="12"/>
      <c r="H52" s="25">
        <f t="shared" si="0"/>
        <v>0</v>
      </c>
      <c r="I52" s="8">
        <f t="shared" si="1"/>
        <v>0</v>
      </c>
      <c r="J52" s="13"/>
      <c r="K52" s="8">
        <f t="shared" si="2"/>
        <v>0</v>
      </c>
      <c r="L52" s="9" t="str">
        <f>IF(Z52="◎",COUNTIF($Z$30:Z52,"◎"),"")</f>
        <v/>
      </c>
      <c r="W52" s="106" t="str">
        <f>IF(B52="既設病床",はじめに入力してください!$K$12,IF(B52="新設病床",はじめに入力してください!$K$13,IF(B52="共通使用",1,"")))</f>
        <v/>
      </c>
      <c r="Y52" s="16">
        <v>23</v>
      </c>
      <c r="Z52" s="105" t="str">
        <f t="shared" si="3"/>
        <v>○</v>
      </c>
      <c r="AA52" s="106" t="str">
        <f t="shared" si="4"/>
        <v>整備しない場合は入力不要です。</v>
      </c>
    </row>
    <row r="53" spans="1:27" hidden="1">
      <c r="A53" s="16">
        <v>24</v>
      </c>
      <c r="B53" s="10"/>
      <c r="C53" s="10"/>
      <c r="D53" s="10"/>
      <c r="E53" s="14"/>
      <c r="F53" s="11"/>
      <c r="G53" s="12"/>
      <c r="H53" s="25">
        <f t="shared" si="0"/>
        <v>0</v>
      </c>
      <c r="I53" s="8">
        <f t="shared" si="1"/>
        <v>0</v>
      </c>
      <c r="J53" s="13"/>
      <c r="K53" s="8">
        <f t="shared" si="2"/>
        <v>0</v>
      </c>
      <c r="L53" s="9" t="str">
        <f>IF(Z53="◎",COUNTIF($Z$30:Z53,"◎"),"")</f>
        <v/>
      </c>
      <c r="W53" s="106" t="str">
        <f>IF(B53="既設病床",はじめに入力してください!$K$12,IF(B53="新設病床",はじめに入力してください!$K$13,IF(B53="共通使用",1,"")))</f>
        <v/>
      </c>
      <c r="Y53" s="16">
        <v>24</v>
      </c>
      <c r="Z53" s="105" t="str">
        <f t="shared" si="3"/>
        <v>○</v>
      </c>
      <c r="AA53" s="106" t="str">
        <f t="shared" si="4"/>
        <v>整備しない場合は入力不要です。</v>
      </c>
    </row>
    <row r="54" spans="1:27" hidden="1">
      <c r="A54" s="16">
        <v>25</v>
      </c>
      <c r="B54" s="10"/>
      <c r="C54" s="10"/>
      <c r="D54" s="10"/>
      <c r="E54" s="14"/>
      <c r="F54" s="11"/>
      <c r="G54" s="12"/>
      <c r="H54" s="25">
        <f t="shared" si="0"/>
        <v>0</v>
      </c>
      <c r="I54" s="8">
        <f t="shared" si="1"/>
        <v>0</v>
      </c>
      <c r="J54" s="13"/>
      <c r="K54" s="8">
        <f t="shared" si="2"/>
        <v>0</v>
      </c>
      <c r="L54" s="9" t="str">
        <f>IF(Z54="◎",COUNTIF($Z$30:Z54,"◎"),"")</f>
        <v/>
      </c>
      <c r="W54" s="106" t="str">
        <f>IF(B54="既設病床",はじめに入力してください!$K$12,IF(B54="新設病床",はじめに入力してください!$K$13,IF(B54="共通使用",1,"")))</f>
        <v/>
      </c>
      <c r="Y54" s="16">
        <v>25</v>
      </c>
      <c r="Z54" s="105" t="str">
        <f t="shared" si="3"/>
        <v>○</v>
      </c>
      <c r="AA54" s="106" t="str">
        <f t="shared" si="4"/>
        <v>整備しない場合は入力不要です。</v>
      </c>
    </row>
    <row r="55" spans="1:27" hidden="1">
      <c r="A55" s="16">
        <v>26</v>
      </c>
      <c r="B55" s="10"/>
      <c r="C55" s="10"/>
      <c r="D55" s="10"/>
      <c r="E55" s="14"/>
      <c r="F55" s="11"/>
      <c r="G55" s="12"/>
      <c r="H55" s="25">
        <f t="shared" si="0"/>
        <v>0</v>
      </c>
      <c r="I55" s="8">
        <f t="shared" si="1"/>
        <v>0</v>
      </c>
      <c r="J55" s="13"/>
      <c r="K55" s="8">
        <f t="shared" si="2"/>
        <v>0</v>
      </c>
      <c r="L55" s="9" t="str">
        <f>IF(Z55="◎",COUNTIF($Z$30:Z55,"◎"),"")</f>
        <v/>
      </c>
      <c r="W55" s="106" t="str">
        <f>IF(B55="既設病床",はじめに入力してください!$K$12,IF(B55="新設病床",はじめに入力してください!$K$13,IF(B55="共通使用",1,"")))</f>
        <v/>
      </c>
      <c r="Y55" s="16">
        <v>26</v>
      </c>
      <c r="Z55" s="105" t="str">
        <f t="shared" si="3"/>
        <v>○</v>
      </c>
      <c r="AA55" s="106" t="str">
        <f t="shared" si="4"/>
        <v>整備しない場合は入力不要です。</v>
      </c>
    </row>
    <row r="56" spans="1:27" hidden="1">
      <c r="A56" s="16">
        <v>27</v>
      </c>
      <c r="B56" s="10"/>
      <c r="C56" s="10"/>
      <c r="D56" s="10"/>
      <c r="E56" s="14"/>
      <c r="F56" s="11"/>
      <c r="G56" s="12"/>
      <c r="H56" s="25">
        <f t="shared" si="0"/>
        <v>0</v>
      </c>
      <c r="I56" s="8">
        <f t="shared" si="1"/>
        <v>0</v>
      </c>
      <c r="J56" s="13"/>
      <c r="K56" s="8">
        <f t="shared" si="2"/>
        <v>0</v>
      </c>
      <c r="L56" s="9" t="str">
        <f>IF(Z56="◎",COUNTIF($Z$30:Z56,"◎"),"")</f>
        <v/>
      </c>
      <c r="W56" s="106" t="str">
        <f>IF(B56="既設病床",はじめに入力してください!$K$12,IF(B56="新設病床",はじめに入力してください!$K$13,IF(B56="共通使用",1,"")))</f>
        <v/>
      </c>
      <c r="Y56" s="16">
        <v>27</v>
      </c>
      <c r="Z56" s="105" t="str">
        <f t="shared" si="3"/>
        <v>○</v>
      </c>
      <c r="AA56" s="106" t="str">
        <f t="shared" si="4"/>
        <v>整備しない場合は入力不要です。</v>
      </c>
    </row>
    <row r="57" spans="1:27" hidden="1">
      <c r="A57" s="16">
        <v>28</v>
      </c>
      <c r="B57" s="10"/>
      <c r="C57" s="10"/>
      <c r="D57" s="10"/>
      <c r="E57" s="14"/>
      <c r="F57" s="11"/>
      <c r="G57" s="12"/>
      <c r="H57" s="25">
        <f t="shared" si="0"/>
        <v>0</v>
      </c>
      <c r="I57" s="8">
        <f t="shared" si="1"/>
        <v>0</v>
      </c>
      <c r="J57" s="13"/>
      <c r="K57" s="8">
        <f t="shared" si="2"/>
        <v>0</v>
      </c>
      <c r="L57" s="9" t="str">
        <f>IF(Z57="◎",COUNTIF($Z$30:Z57,"◎"),"")</f>
        <v/>
      </c>
      <c r="W57" s="106" t="str">
        <f>IF(B57="既設病床",はじめに入力してください!$K$12,IF(B57="新設病床",はじめに入力してください!$K$13,IF(B57="共通使用",1,"")))</f>
        <v/>
      </c>
      <c r="Y57" s="16">
        <v>28</v>
      </c>
      <c r="Z57" s="105" t="str">
        <f t="shared" si="3"/>
        <v>○</v>
      </c>
      <c r="AA57" s="106" t="str">
        <f t="shared" si="4"/>
        <v>整備しない場合は入力不要です。</v>
      </c>
    </row>
    <row r="58" spans="1:27" hidden="1">
      <c r="A58" s="16">
        <v>29</v>
      </c>
      <c r="B58" s="10"/>
      <c r="C58" s="10"/>
      <c r="D58" s="10"/>
      <c r="E58" s="14"/>
      <c r="F58" s="11"/>
      <c r="G58" s="12"/>
      <c r="H58" s="25">
        <f t="shared" si="0"/>
        <v>0</v>
      </c>
      <c r="I58" s="8">
        <f t="shared" si="1"/>
        <v>0</v>
      </c>
      <c r="J58" s="13"/>
      <c r="K58" s="8">
        <f t="shared" si="2"/>
        <v>0</v>
      </c>
      <c r="L58" s="9" t="str">
        <f>IF(Z58="◎",COUNTIF($Z$30:Z58,"◎"),"")</f>
        <v/>
      </c>
      <c r="W58" s="106" t="str">
        <f>IF(B58="既設病床",はじめに入力してください!$K$12,IF(B58="新設病床",はじめに入力してください!$K$13,IF(B58="共通使用",1,"")))</f>
        <v/>
      </c>
      <c r="Y58" s="16">
        <v>29</v>
      </c>
      <c r="Z58" s="105" t="str">
        <f t="shared" si="3"/>
        <v>○</v>
      </c>
      <c r="AA58" s="106" t="str">
        <f t="shared" si="4"/>
        <v>整備しない場合は入力不要です。</v>
      </c>
    </row>
    <row r="59" spans="1:27" hidden="1">
      <c r="A59" s="16">
        <v>30</v>
      </c>
      <c r="B59" s="10"/>
      <c r="C59" s="10"/>
      <c r="D59" s="10"/>
      <c r="E59" s="14"/>
      <c r="F59" s="11"/>
      <c r="G59" s="12"/>
      <c r="H59" s="25">
        <f t="shared" si="0"/>
        <v>0</v>
      </c>
      <c r="I59" s="8">
        <f t="shared" si="1"/>
        <v>0</v>
      </c>
      <c r="J59" s="13"/>
      <c r="K59" s="8">
        <f t="shared" si="2"/>
        <v>0</v>
      </c>
      <c r="L59" s="9" t="str">
        <f>IF(Z59="◎",COUNTIF($Z$30:Z59,"◎"),"")</f>
        <v/>
      </c>
      <c r="W59" s="106" t="str">
        <f>IF(B59="既設病床",はじめに入力してください!$K$12,IF(B59="新設病床",はじめに入力してください!$K$13,IF(B59="共通使用",1,"")))</f>
        <v/>
      </c>
      <c r="Y59" s="16">
        <v>30</v>
      </c>
      <c r="Z59" s="105" t="str">
        <f t="shared" si="3"/>
        <v>○</v>
      </c>
      <c r="AA59" s="106" t="str">
        <f t="shared" si="4"/>
        <v>整備しない場合は入力不要です。</v>
      </c>
    </row>
    <row r="60" spans="1:27" hidden="1">
      <c r="A60" s="16">
        <v>31</v>
      </c>
      <c r="B60" s="10"/>
      <c r="C60" s="10"/>
      <c r="D60" s="10"/>
      <c r="E60" s="14"/>
      <c r="F60" s="11"/>
      <c r="G60" s="12"/>
      <c r="H60" s="25">
        <f t="shared" si="0"/>
        <v>0</v>
      </c>
      <c r="I60" s="8">
        <f t="shared" si="1"/>
        <v>0</v>
      </c>
      <c r="J60" s="13"/>
      <c r="K60" s="8">
        <f t="shared" si="2"/>
        <v>0</v>
      </c>
      <c r="L60" s="9" t="str">
        <f>IF(Z60="◎",COUNTIF($Z$30:Z60,"◎"),"")</f>
        <v/>
      </c>
      <c r="W60" s="106" t="str">
        <f>IF(B60="既設病床",はじめに入力してください!$K$12,IF(B60="新設病床",はじめに入力してください!$K$13,IF(B60="共通使用",1,"")))</f>
        <v/>
      </c>
      <c r="Y60" s="16">
        <v>31</v>
      </c>
      <c r="Z60" s="105" t="str">
        <f t="shared" si="3"/>
        <v>○</v>
      </c>
      <c r="AA60" s="106" t="str">
        <f t="shared" si="4"/>
        <v>整備しない場合は入力不要です。</v>
      </c>
    </row>
    <row r="61" spans="1:27" hidden="1">
      <c r="A61" s="16">
        <v>32</v>
      </c>
      <c r="B61" s="10"/>
      <c r="C61" s="10"/>
      <c r="D61" s="10"/>
      <c r="E61" s="14"/>
      <c r="F61" s="11"/>
      <c r="G61" s="12"/>
      <c r="H61" s="25">
        <f t="shared" si="0"/>
        <v>0</v>
      </c>
      <c r="I61" s="8">
        <f t="shared" si="1"/>
        <v>0</v>
      </c>
      <c r="J61" s="13"/>
      <c r="K61" s="8">
        <f t="shared" si="2"/>
        <v>0</v>
      </c>
      <c r="L61" s="9" t="str">
        <f>IF(Z61="◎",COUNTIF($Z$30:Z61,"◎"),"")</f>
        <v/>
      </c>
      <c r="W61" s="106" t="str">
        <f>IF(B61="既設病床",はじめに入力してください!$K$12,IF(B61="新設病床",はじめに入力してください!$K$13,IF(B61="共通使用",1,"")))</f>
        <v/>
      </c>
      <c r="Y61" s="16">
        <v>32</v>
      </c>
      <c r="Z61" s="105" t="str">
        <f t="shared" si="3"/>
        <v>○</v>
      </c>
      <c r="AA61" s="106" t="str">
        <f t="shared" si="4"/>
        <v>整備しない場合は入力不要です。</v>
      </c>
    </row>
    <row r="62" spans="1:27" hidden="1">
      <c r="A62" s="16">
        <v>33</v>
      </c>
      <c r="B62" s="10"/>
      <c r="C62" s="10"/>
      <c r="D62" s="10"/>
      <c r="E62" s="14"/>
      <c r="F62" s="11"/>
      <c r="G62" s="12"/>
      <c r="H62" s="25">
        <f t="shared" si="0"/>
        <v>0</v>
      </c>
      <c r="I62" s="8">
        <f t="shared" si="1"/>
        <v>0</v>
      </c>
      <c r="J62" s="13"/>
      <c r="K62" s="8">
        <f t="shared" si="2"/>
        <v>0</v>
      </c>
      <c r="L62" s="9" t="str">
        <f>IF(Z62="◎",COUNTIF($Z$30:Z62,"◎"),"")</f>
        <v/>
      </c>
      <c r="W62" s="106" t="str">
        <f>IF(B62="既設病床",はじめに入力してください!$K$12,IF(B62="新設病床",はじめに入力してください!$K$13,IF(B62="共通使用",1,"")))</f>
        <v/>
      </c>
      <c r="Y62" s="16">
        <v>33</v>
      </c>
      <c r="Z62" s="105" t="str">
        <f t="shared" si="3"/>
        <v>○</v>
      </c>
      <c r="AA62" s="106" t="str">
        <f t="shared" si="4"/>
        <v>整備しない場合は入力不要です。</v>
      </c>
    </row>
    <row r="63" spans="1:27" hidden="1">
      <c r="A63" s="16">
        <v>34</v>
      </c>
      <c r="B63" s="10"/>
      <c r="C63" s="10"/>
      <c r="D63" s="10"/>
      <c r="E63" s="14"/>
      <c r="F63" s="11"/>
      <c r="G63" s="12"/>
      <c r="H63" s="25">
        <f t="shared" si="0"/>
        <v>0</v>
      </c>
      <c r="I63" s="8">
        <f t="shared" si="1"/>
        <v>0</v>
      </c>
      <c r="J63" s="13"/>
      <c r="K63" s="8">
        <f t="shared" si="2"/>
        <v>0</v>
      </c>
      <c r="L63" s="9" t="str">
        <f>IF(Z63="◎",COUNTIF($Z$30:Z63,"◎"),"")</f>
        <v/>
      </c>
      <c r="W63" s="106" t="str">
        <f>IF(B63="既設病床",はじめに入力してください!$K$12,IF(B63="新設病床",はじめに入力してください!$K$13,IF(B63="共通使用",1,"")))</f>
        <v/>
      </c>
      <c r="Y63" s="16">
        <v>34</v>
      </c>
      <c r="Z63" s="105" t="str">
        <f t="shared" si="3"/>
        <v>○</v>
      </c>
      <c r="AA63" s="106" t="str">
        <f t="shared" si="4"/>
        <v>整備しない場合は入力不要です。</v>
      </c>
    </row>
    <row r="64" spans="1:27" hidden="1">
      <c r="A64" s="16">
        <v>35</v>
      </c>
      <c r="B64" s="10"/>
      <c r="C64" s="10"/>
      <c r="D64" s="10"/>
      <c r="E64" s="14"/>
      <c r="F64" s="11"/>
      <c r="G64" s="12"/>
      <c r="H64" s="25">
        <f t="shared" si="0"/>
        <v>0</v>
      </c>
      <c r="I64" s="8">
        <f t="shared" si="1"/>
        <v>0</v>
      </c>
      <c r="J64" s="13"/>
      <c r="K64" s="8">
        <f t="shared" si="2"/>
        <v>0</v>
      </c>
      <c r="L64" s="9" t="str">
        <f>IF(Z64="◎",COUNTIF($Z$30:Z64,"◎"),"")</f>
        <v/>
      </c>
      <c r="W64" s="106" t="str">
        <f>IF(B64="既設病床",はじめに入力してください!$K$12,IF(B64="新設病床",はじめに入力してください!$K$13,IF(B64="共通使用",1,"")))</f>
        <v/>
      </c>
      <c r="Y64" s="16">
        <v>35</v>
      </c>
      <c r="Z64" s="105" t="str">
        <f t="shared" si="3"/>
        <v>○</v>
      </c>
      <c r="AA64" s="106" t="str">
        <f t="shared" si="4"/>
        <v>整備しない場合は入力不要です。</v>
      </c>
    </row>
    <row r="65" spans="1:27" hidden="1">
      <c r="A65" s="16">
        <v>36</v>
      </c>
      <c r="B65" s="10"/>
      <c r="C65" s="10"/>
      <c r="D65" s="10"/>
      <c r="E65" s="14"/>
      <c r="F65" s="11"/>
      <c r="G65" s="12"/>
      <c r="H65" s="25">
        <f t="shared" si="0"/>
        <v>0</v>
      </c>
      <c r="I65" s="8">
        <f t="shared" si="1"/>
        <v>0</v>
      </c>
      <c r="J65" s="13"/>
      <c r="K65" s="8">
        <f t="shared" si="2"/>
        <v>0</v>
      </c>
      <c r="L65" s="9" t="str">
        <f>IF(Z65="◎",COUNTIF($Z$30:Z65,"◎"),"")</f>
        <v/>
      </c>
      <c r="W65" s="106" t="str">
        <f>IF(B65="既設病床",はじめに入力してください!$K$12,IF(B65="新設病床",はじめに入力してください!$K$13,IF(B65="共通使用",1,"")))</f>
        <v/>
      </c>
      <c r="Y65" s="16">
        <v>36</v>
      </c>
      <c r="Z65" s="105" t="str">
        <f t="shared" si="3"/>
        <v>○</v>
      </c>
      <c r="AA65" s="106" t="str">
        <f t="shared" si="4"/>
        <v>整備しない場合は入力不要です。</v>
      </c>
    </row>
    <row r="66" spans="1:27" hidden="1">
      <c r="A66" s="16">
        <v>37</v>
      </c>
      <c r="B66" s="10"/>
      <c r="C66" s="10"/>
      <c r="D66" s="10"/>
      <c r="E66" s="14"/>
      <c r="F66" s="11"/>
      <c r="G66" s="12"/>
      <c r="H66" s="25">
        <f t="shared" si="0"/>
        <v>0</v>
      </c>
      <c r="I66" s="8">
        <f t="shared" si="1"/>
        <v>0</v>
      </c>
      <c r="J66" s="13"/>
      <c r="K66" s="8">
        <f t="shared" si="2"/>
        <v>0</v>
      </c>
      <c r="L66" s="9" t="str">
        <f>IF(Z66="◎",COUNTIF($Z$30:Z66,"◎"),"")</f>
        <v/>
      </c>
      <c r="W66" s="106" t="str">
        <f>IF(B66="既設病床",はじめに入力してください!$K$12,IF(B66="新設病床",はじめに入力してください!$K$13,IF(B66="共通使用",1,"")))</f>
        <v/>
      </c>
      <c r="Y66" s="16">
        <v>37</v>
      </c>
      <c r="Z66" s="105" t="str">
        <f t="shared" si="3"/>
        <v>○</v>
      </c>
      <c r="AA66" s="106" t="str">
        <f t="shared" si="4"/>
        <v>整備しない場合は入力不要です。</v>
      </c>
    </row>
    <row r="67" spans="1:27" hidden="1">
      <c r="A67" s="16">
        <v>38</v>
      </c>
      <c r="B67" s="10"/>
      <c r="C67" s="10"/>
      <c r="D67" s="10"/>
      <c r="E67" s="14"/>
      <c r="F67" s="11"/>
      <c r="G67" s="12"/>
      <c r="H67" s="25">
        <f t="shared" si="0"/>
        <v>0</v>
      </c>
      <c r="I67" s="8">
        <f t="shared" si="1"/>
        <v>0</v>
      </c>
      <c r="J67" s="13"/>
      <c r="K67" s="8">
        <f t="shared" si="2"/>
        <v>0</v>
      </c>
      <c r="L67" s="9" t="str">
        <f>IF(Z67="◎",COUNTIF($Z$30:Z67,"◎"),"")</f>
        <v/>
      </c>
      <c r="W67" s="106" t="str">
        <f>IF(B67="既設病床",はじめに入力してください!$K$12,IF(B67="新設病床",はじめに入力してください!$K$13,IF(B67="共通使用",1,"")))</f>
        <v/>
      </c>
      <c r="Y67" s="16">
        <v>38</v>
      </c>
      <c r="Z67" s="105" t="str">
        <f t="shared" si="3"/>
        <v>○</v>
      </c>
      <c r="AA67" s="106" t="str">
        <f t="shared" si="4"/>
        <v>整備しない場合は入力不要です。</v>
      </c>
    </row>
    <row r="68" spans="1:27" hidden="1">
      <c r="A68" s="16">
        <v>39</v>
      </c>
      <c r="B68" s="10"/>
      <c r="C68" s="10"/>
      <c r="D68" s="10"/>
      <c r="E68" s="14"/>
      <c r="F68" s="11"/>
      <c r="G68" s="12"/>
      <c r="H68" s="25">
        <f t="shared" si="0"/>
        <v>0</v>
      </c>
      <c r="I68" s="8">
        <f t="shared" si="1"/>
        <v>0</v>
      </c>
      <c r="J68" s="13"/>
      <c r="K68" s="8">
        <f t="shared" si="2"/>
        <v>0</v>
      </c>
      <c r="L68" s="9" t="str">
        <f>IF(Z68="◎",COUNTIF($Z$30:Z68,"◎"),"")</f>
        <v/>
      </c>
      <c r="W68" s="106" t="str">
        <f>IF(B68="既設病床",はじめに入力してください!$K$12,IF(B68="新設病床",はじめに入力してください!$K$13,IF(B68="共通使用",1,"")))</f>
        <v/>
      </c>
      <c r="Y68" s="16">
        <v>39</v>
      </c>
      <c r="Z68" s="105" t="str">
        <f t="shared" si="3"/>
        <v>○</v>
      </c>
      <c r="AA68" s="106" t="str">
        <f t="shared" si="4"/>
        <v>整備しない場合は入力不要です。</v>
      </c>
    </row>
    <row r="69" spans="1:27" hidden="1">
      <c r="A69" s="16">
        <v>40</v>
      </c>
      <c r="B69" s="10"/>
      <c r="C69" s="10"/>
      <c r="D69" s="10"/>
      <c r="E69" s="14"/>
      <c r="F69" s="11"/>
      <c r="G69" s="12"/>
      <c r="H69" s="25">
        <f t="shared" si="0"/>
        <v>0</v>
      </c>
      <c r="I69" s="8">
        <f t="shared" si="1"/>
        <v>0</v>
      </c>
      <c r="J69" s="13"/>
      <c r="K69" s="8">
        <f t="shared" si="2"/>
        <v>0</v>
      </c>
      <c r="L69" s="9" t="str">
        <f>IF(Z69="◎",COUNTIF($Z$30:Z69,"◎"),"")</f>
        <v/>
      </c>
      <c r="W69" s="106" t="str">
        <f>IF(B69="既設病床",はじめに入力してください!$K$12,IF(B69="新設病床",はじめに入力してください!$K$13,IF(B69="共通使用",1,"")))</f>
        <v/>
      </c>
      <c r="Y69" s="16">
        <v>40</v>
      </c>
      <c r="Z69" s="105" t="str">
        <f t="shared" si="3"/>
        <v>○</v>
      </c>
      <c r="AA69" s="106" t="str">
        <f t="shared" si="4"/>
        <v>整備しない場合は入力不要です。</v>
      </c>
    </row>
    <row r="70" spans="1:27" hidden="1">
      <c r="A70" s="16">
        <v>41</v>
      </c>
      <c r="B70" s="10"/>
      <c r="C70" s="10"/>
      <c r="D70" s="10"/>
      <c r="E70" s="14"/>
      <c r="F70" s="11"/>
      <c r="G70" s="12"/>
      <c r="H70" s="25">
        <f t="shared" si="0"/>
        <v>0</v>
      </c>
      <c r="I70" s="8">
        <f t="shared" si="1"/>
        <v>0</v>
      </c>
      <c r="J70" s="13"/>
      <c r="K70" s="8">
        <f t="shared" si="2"/>
        <v>0</v>
      </c>
      <c r="L70" s="9" t="str">
        <f>IF(Z70="◎",COUNTIF($Z$30:Z70,"◎"),"")</f>
        <v/>
      </c>
      <c r="W70" s="106" t="str">
        <f>IF(B70="既設病床",はじめに入力してください!$K$12,IF(B70="新設病床",はじめに入力してください!$K$13,IF(B70="共通使用",1,"")))</f>
        <v/>
      </c>
      <c r="Y70" s="16">
        <v>41</v>
      </c>
      <c r="Z70" s="105" t="str">
        <f t="shared" si="3"/>
        <v>○</v>
      </c>
      <c r="AA70" s="106" t="str">
        <f t="shared" si="4"/>
        <v>整備しない場合は入力不要です。</v>
      </c>
    </row>
    <row r="71" spans="1:27" hidden="1">
      <c r="A71" s="16">
        <v>42</v>
      </c>
      <c r="B71" s="10"/>
      <c r="C71" s="10"/>
      <c r="D71" s="10"/>
      <c r="E71" s="14"/>
      <c r="F71" s="11"/>
      <c r="G71" s="12"/>
      <c r="H71" s="25">
        <f t="shared" si="0"/>
        <v>0</v>
      </c>
      <c r="I71" s="8">
        <f t="shared" si="1"/>
        <v>0</v>
      </c>
      <c r="J71" s="13"/>
      <c r="K71" s="8">
        <f t="shared" si="2"/>
        <v>0</v>
      </c>
      <c r="L71" s="9" t="str">
        <f>IF(Z71="◎",COUNTIF($Z$30:Z71,"◎"),"")</f>
        <v/>
      </c>
      <c r="W71" s="106" t="str">
        <f>IF(B71="既設病床",はじめに入力してください!$K$12,IF(B71="新設病床",はじめに入力してください!$K$13,IF(B71="共通使用",1,"")))</f>
        <v/>
      </c>
      <c r="Y71" s="16">
        <v>42</v>
      </c>
      <c r="Z71" s="105" t="str">
        <f t="shared" si="3"/>
        <v>○</v>
      </c>
      <c r="AA71" s="106" t="str">
        <f t="shared" si="4"/>
        <v>整備しない場合は入力不要です。</v>
      </c>
    </row>
    <row r="72" spans="1:27" hidden="1">
      <c r="A72" s="16">
        <v>43</v>
      </c>
      <c r="B72" s="10"/>
      <c r="C72" s="10"/>
      <c r="D72" s="10"/>
      <c r="E72" s="14"/>
      <c r="F72" s="11"/>
      <c r="G72" s="12"/>
      <c r="H72" s="25">
        <f t="shared" si="0"/>
        <v>0</v>
      </c>
      <c r="I72" s="8">
        <f t="shared" si="1"/>
        <v>0</v>
      </c>
      <c r="J72" s="13"/>
      <c r="K72" s="8">
        <f t="shared" si="2"/>
        <v>0</v>
      </c>
      <c r="L72" s="9" t="str">
        <f>IF(Z72="◎",COUNTIF($Z$30:Z72,"◎"),"")</f>
        <v/>
      </c>
      <c r="W72" s="106" t="str">
        <f>IF(B72="既設病床",はじめに入力してください!$K$12,IF(B72="新設病床",はじめに入力してください!$K$13,IF(B72="共通使用",1,"")))</f>
        <v/>
      </c>
      <c r="Y72" s="16">
        <v>43</v>
      </c>
      <c r="Z72" s="105" t="str">
        <f t="shared" si="3"/>
        <v>○</v>
      </c>
      <c r="AA72" s="106" t="str">
        <f t="shared" si="4"/>
        <v>整備しない場合は入力不要です。</v>
      </c>
    </row>
    <row r="73" spans="1:27" hidden="1">
      <c r="A73" s="16">
        <v>44</v>
      </c>
      <c r="B73" s="10"/>
      <c r="C73" s="10"/>
      <c r="D73" s="10"/>
      <c r="E73" s="14"/>
      <c r="F73" s="11"/>
      <c r="G73" s="12"/>
      <c r="H73" s="25">
        <f t="shared" si="0"/>
        <v>0</v>
      </c>
      <c r="I73" s="8">
        <f t="shared" si="1"/>
        <v>0</v>
      </c>
      <c r="J73" s="13"/>
      <c r="K73" s="8">
        <f t="shared" si="2"/>
        <v>0</v>
      </c>
      <c r="L73" s="9" t="str">
        <f>IF(Z73="◎",COUNTIF($Z$30:Z73,"◎"),"")</f>
        <v/>
      </c>
      <c r="W73" s="106" t="str">
        <f>IF(B73="既設病床",はじめに入力してください!$K$12,IF(B73="新設病床",はじめに入力してください!$K$13,IF(B73="共通使用",1,"")))</f>
        <v/>
      </c>
      <c r="Y73" s="16">
        <v>44</v>
      </c>
      <c r="Z73" s="105" t="str">
        <f t="shared" si="3"/>
        <v>○</v>
      </c>
      <c r="AA73" s="106" t="str">
        <f t="shared" si="4"/>
        <v>整備しない場合は入力不要です。</v>
      </c>
    </row>
    <row r="74" spans="1:27" hidden="1">
      <c r="A74" s="16">
        <v>45</v>
      </c>
      <c r="B74" s="10"/>
      <c r="C74" s="10"/>
      <c r="D74" s="10"/>
      <c r="E74" s="14"/>
      <c r="F74" s="11"/>
      <c r="G74" s="12"/>
      <c r="H74" s="25">
        <f t="shared" si="0"/>
        <v>0</v>
      </c>
      <c r="I74" s="8">
        <f t="shared" si="1"/>
        <v>0</v>
      </c>
      <c r="J74" s="13"/>
      <c r="K74" s="8">
        <f t="shared" si="2"/>
        <v>0</v>
      </c>
      <c r="L74" s="9" t="str">
        <f>IF(Z74="◎",COUNTIF($Z$30:Z74,"◎"),"")</f>
        <v/>
      </c>
      <c r="W74" s="106" t="str">
        <f>IF(B74="既設病床",はじめに入力してください!$K$12,IF(B74="新設病床",はじめに入力してください!$K$13,IF(B74="共通使用",1,"")))</f>
        <v/>
      </c>
      <c r="Y74" s="16">
        <v>45</v>
      </c>
      <c r="Z74" s="105" t="str">
        <f t="shared" si="3"/>
        <v>○</v>
      </c>
      <c r="AA74" s="106" t="str">
        <f t="shared" si="4"/>
        <v>整備しない場合は入力不要です。</v>
      </c>
    </row>
  </sheetData>
  <sheetProtection algorithmName="SHA-512" hashValue="pZ5MXfEVbW2NhmPiyIy6+wYb7p9z+UZqMAejqwhthQWffxZz3oc56RwUDTzAMjXDqFrDGUA3AXopiAapYq2rSg==" saltValue="6e3y/iKs/DU0H6KUN+v5SA=="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39" priority="4" operator="containsText" text="×">
      <formula>NOT(ISERROR(SEARCH("×",Z1)))</formula>
    </cfRule>
  </conditionalFormatting>
  <conditionalFormatting sqref="AA1:AA4 AA9:AA21 AA29:AA1048576 AA6:AA7 AA23:AA27">
    <cfRule type="containsText" dxfId="38" priority="3" operator="containsText" text="要修正">
      <formula>NOT(ISERROR(SEARCH("要修正",AA1)))</formula>
    </cfRule>
  </conditionalFormatting>
  <conditionalFormatting sqref="Z22">
    <cfRule type="containsText" dxfId="37" priority="2" operator="containsText" text="×">
      <formula>NOT(ISERROR(SEARCH("×",Z22)))</formula>
    </cfRule>
  </conditionalFormatting>
  <conditionalFormatting sqref="AA22">
    <cfRule type="containsText" dxfId="36" priority="1" operator="containsText" text="要修正">
      <formula>NOT(ISERROR(SEARCH("要修正",AA22)))</formula>
    </cfRule>
  </conditionalFormatting>
  <dataValidations count="9">
    <dataValidation allowBlank="1" showInputMessage="1" showErrorMessage="1" promptTitle="割引額がある場合は入力" prompt="割引がない場合は「0円」のままとしてください。" sqref="I3" xr:uid="{00000000-0002-0000-1300-000000000000}"/>
    <dataValidation allowBlank="1" showInputMessage="1" showErrorMessage="1" promptTitle="補助対象金額" prompt="補助対象額×（見積書金額-割引額）/見積書金額_x000a_で算出されます。" sqref="J3" xr:uid="{00000000-0002-0000-1300-000001000000}"/>
    <dataValidation allowBlank="1" showInputMessage="1" showErrorMessage="1" promptTitle="規格及び数量の入力" prompt="補助対象経費を計上する際、いずれも入力してください。" sqref="E30:F74" xr:uid="{00000000-0002-0000-13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300-000003000000}"/>
    <dataValidation allowBlank="1" showInputMessage="1" showErrorMessage="1" promptTitle="添付書類番号" prompt="種類、規格、数量、単価が全て適切に入力され、右の「判定」が「◎」と表示されると自動で番号が表示されます。" sqref="L30:L74" xr:uid="{00000000-0002-0000-1300-000004000000}"/>
    <dataValidation allowBlank="1" showInputMessage="1" showErrorMessage="1" promptTitle="金額の表示" prompt="数式が入力されているため、自動計算されます。" sqref="K30:K74 I30:I74" xr:uid="{00000000-0002-0000-1300-000005000000}"/>
    <dataValidation type="list" allowBlank="1" showInputMessage="1" showErrorMessage="1" promptTitle="設備、備品、その他の別を選択" prompt="当該行に記載する品目が_x000a_・「設備」（換気扇等立て付けのもの）_x000a_・備品（機材、什器等）_x000a_・その他（上記の該当しないもの）_x000a_の別をプルダウンから選択してください。" sqref="D33:D74" xr:uid="{00000000-0002-0000-1300-000006000000}">
      <formula1>"設備,備品,その他"</formula1>
    </dataValidation>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300-000007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32" xr:uid="{00000000-0002-0000-1300-000008000000}">
      <formula1>"設備,備品,その他"</formula1>
    </dataValidation>
  </dataValidations>
  <pageMargins left="0.7" right="0.7" top="0.75" bottom="0.75" header="0.3" footer="0.3"/>
  <pageSetup paperSize="9" scale="56"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r:uid="{00000000-0002-0000-1300-000009000000}">
          <x14:formula1>
            <xm:f>テーブル!$W$48:$W$50</xm:f>
          </x14:formula1>
          <xm:sqref>B33:B74</xm:sqref>
        </x14:dataValidation>
        <x14:dataValidation type="list" allowBlank="1" showInputMessage="1" showErrorMessage="1" xr:uid="{00000000-0002-0000-1300-00000A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r:uid="{00000000-0002-0000-1300-00000B000000}">
          <x14:formula1>
            <xm:f>OFFSET(テーブル!$W$48, 0, MATCH(B33,テーブル!$X$47:$Z$47,0), COUNTA(OFFSET(テーブル!$W$48,0,MATCH(B33,テーブル!$X$47:$Z$47,0),$W$30,1)),1)</xm:f>
          </x14:formula1>
          <xm:sqref>C33:C74</xm:sqref>
        </x14:dataValidation>
        <x14:dataValidation type="list" allowBlank="1" showInputMessage="1" showErrorMessage="1" promptTitle="配備先の別を選択" prompt="確保病床の共通使用のものか、個別のベッドに配備するものか選択してください。" xr:uid="{00000000-0002-0000-1300-00000C000000}">
          <x14:formula1>
            <xm:f>テーブル!$W$48:$W$49</xm:f>
          </x14:formula1>
          <xm:sqref>B30:B32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300-00000D000000}">
          <x14:formula1>
            <xm:f>OFFSET(テーブル!$W$48, 0, MATCH(B30,テーブル!$X$47:$Y$47,0), COUNTA(OFFSET(テーブル!$W$48,0,MATCH(B30,テーブル!$X$47:$Y$47,0),$W$30,1)),1)</xm:f>
          </x14:formula1>
          <xm:sqref>C30:C32</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F74"/>
  <sheetViews>
    <sheetView showGridLines="0" view="pageBreakPreview"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464</v>
      </c>
      <c r="C2" s="865"/>
      <c r="D2" s="866"/>
      <c r="H2" s="303" t="s">
        <v>631</v>
      </c>
      <c r="I2" s="105" t="s">
        <v>632</v>
      </c>
      <c r="J2" s="303" t="s">
        <v>63</v>
      </c>
      <c r="L2" s="105" t="str">
        <f>VLOOKUP(B2,テーブル!H37:J51,3,FALSE)</f>
        <v>様式2-7</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60" customHeight="1">
      <c r="A14" s="21"/>
      <c r="B14" s="875" t="str">
        <f>VLOOKUP(B2,テーブル!H37:I51,2,FALSE)</f>
        <v>（例）本院が所在する医療圏は確保病床自体が少なく、都市部から遠隔地であることから、受入対応が難しい際の隣接圏域への搬送に時間を要する事態が生じたケースがある。
　感染ピークの度に圏域内の確保病床の逼迫が生じたことから、受入可能数を増やす必要性について圏域内の関係医療機関の間で問題共有されていたところである。
　このことから、本院として今後人員体制を拡充し、入院要請を断ることがないよう○床分の病床を追加で確保するための整備を行うこととしたい。</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jm3QzDKc9OwdzkIHZUI45L4ZtMHFq2n71DfhDvxYeSGG3y5qeeFKnnd1M6yToY4zzpNmJLXucxWNYcjoEdr68g==" saltValue="M5DUhb0BwqrRMFxW2oQREg=="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35" priority="4" operator="containsText" text="×">
      <formula>NOT(ISERROR(SEARCH("×",Z1)))</formula>
    </cfRule>
  </conditionalFormatting>
  <conditionalFormatting sqref="AA1:AA4 AA9:AA21 AA29:AA1048576 AA6:AA7 AA23:AA27">
    <cfRule type="containsText" dxfId="34" priority="3" operator="containsText" text="要修正">
      <formula>NOT(ISERROR(SEARCH("要修正",AA1)))</formula>
    </cfRule>
  </conditionalFormatting>
  <conditionalFormatting sqref="Z22">
    <cfRule type="containsText" dxfId="33" priority="2" operator="containsText" text="×">
      <formula>NOT(ISERROR(SEARCH("×",Z22)))</formula>
    </cfRule>
  </conditionalFormatting>
  <conditionalFormatting sqref="AA22">
    <cfRule type="containsText" dxfId="32" priority="1" operator="containsText" text="要修正">
      <formula>NOT(ISERROR(SEARCH("要修正",AA22)))</formula>
    </cfRule>
  </conditionalFormatting>
  <dataValidations count="8">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400-000000000000}">
      <formula1>"補助対象,補助対象外"</formula1>
    </dataValidation>
    <dataValidation allowBlank="1" showInputMessage="1" showErrorMessage="1" promptTitle="金額の表示" prompt="数式が入力されているため、自動計算されます。" sqref="K30:K74 I30:I74" xr:uid="{00000000-0002-0000-1400-000001000000}"/>
    <dataValidation allowBlank="1" showInputMessage="1" showErrorMessage="1" promptTitle="添付書類番号" prompt="種類、規格、数量、単価が全て適切に入力され、右の「判定」が「◎」と表示されると自動で番号が表示されます。" sqref="L30:L74" xr:uid="{00000000-0002-0000-14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400-000003000000}"/>
    <dataValidation allowBlank="1" showInputMessage="1" showErrorMessage="1" promptTitle="規格及び数量の入力" prompt="補助対象経費を計上する際、いずれも入力してください。" sqref="E30:F74" xr:uid="{00000000-0002-0000-1400-000004000000}"/>
    <dataValidation allowBlank="1" showInputMessage="1" showErrorMessage="1" promptTitle="補助対象金額" prompt="補助対象額×（見積書金額-割引額）/見積書金額_x000a_で算出されます。" sqref="J3" xr:uid="{00000000-0002-0000-1400-000005000000}"/>
    <dataValidation allowBlank="1" showInputMessage="1" showErrorMessage="1" promptTitle="割引額がある場合は入力" prompt="割引がない場合は「0円」のままとしてください。" sqref="I3" xr:uid="{00000000-0002-0000-14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400-000007000000}">
      <formula1>"設備,備品,その他"</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4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4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400-00000A000000}">
          <x14:formula1>
            <xm:f>OFFSET(テーブル!$W$48, 0, MATCH(B30,テーブル!$X$47:$Y$47,0), COUNTA(OFFSET(テーブル!$W$48,0,MATCH(B30,テーブル!$X$47:$Y$47,0),$W$30,1)),1)</xm:f>
          </x14:formula1>
          <xm:sqref>C30:C74</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F74"/>
  <sheetViews>
    <sheetView showGridLines="0" view="pageBreakPreview"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465</v>
      </c>
      <c r="C2" s="865"/>
      <c r="D2" s="866"/>
      <c r="H2" s="303" t="s">
        <v>631</v>
      </c>
      <c r="I2" s="105" t="s">
        <v>632</v>
      </c>
      <c r="J2" s="303" t="s">
        <v>63</v>
      </c>
      <c r="L2" s="105" t="str">
        <f>VLOOKUP(B2,テーブル!H37:J51,3,FALSE)</f>
        <v>様式2-8</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80.150000000000006" customHeight="1">
      <c r="A14" s="21"/>
      <c r="B14" s="875" t="str">
        <f>VLOOKUP(B2,テーブル!H37:I51,2,FALSE)</f>
        <v>（例）当院は確保病床数が〇○床と多いこと、入院患者の多くが移動の際の身体介助あるいは体位変換を必要とする高齢者であり、入院支援を行う医療スタッフへの負担の状態化が問題となっていた。
　上記対応に加えて、飛沫や吐瀉物の処理に伴う消毒作業が大きな負担となっており、これを軽減する上で装置の配備が有効であると判断したことから、○台の整備にあたり本補助金を活用することとしたい。</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hidden="1">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hidden="1">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hidden="1">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hidden="1">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hidden="1">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hidden="1">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hidden="1">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hidden="1">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hidden="1">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hidden="1">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hidden="1">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hidden="1">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hidden="1">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hidden="1">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hidden="1">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hidden="1">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hidden="1">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hidden="1">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hidden="1">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hidden="1">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hidden="1">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hidden="1">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hidden="1">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hidden="1">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hidden="1">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hidden="1">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hidden="1">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hidden="1">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hidden="1">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hidden="1">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hidden="1">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hidden="1">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hidden="1">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hidden="1">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hidden="1">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hidden="1">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hidden="1">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hidden="1">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hidden="1">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hidden="1">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hidden="1">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rfZYlVO+Ohg9pefOisxzCD3UBOrxvJ39ROlhepDc7HZeDj4w6+p6fgNAkdS3HJ6CH7OEHlJARGtUQ2JoGULjgQ==" saltValue="n4YcEXMxFQdj5P9D13ILuw=="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31" priority="4" operator="containsText" text="×">
      <formula>NOT(ISERROR(SEARCH("×",Z1)))</formula>
    </cfRule>
  </conditionalFormatting>
  <conditionalFormatting sqref="AA1:AA4 AA9:AA21 AA29:AA1048576 AA6:AA7 AA23:AA27">
    <cfRule type="containsText" dxfId="30" priority="3" operator="containsText" text="要修正">
      <formula>NOT(ISERROR(SEARCH("要修正",AA1)))</formula>
    </cfRule>
  </conditionalFormatting>
  <conditionalFormatting sqref="Z22">
    <cfRule type="containsText" dxfId="29" priority="2" operator="containsText" text="×">
      <formula>NOT(ISERROR(SEARCH("×",Z22)))</formula>
    </cfRule>
  </conditionalFormatting>
  <conditionalFormatting sqref="AA22">
    <cfRule type="containsText" dxfId="28" priority="1" operator="containsText" text="要修正">
      <formula>NOT(ISERROR(SEARCH("要修正",AA22)))</formula>
    </cfRule>
  </conditionalFormatting>
  <dataValidations count="9">
    <dataValidation allowBlank="1" showInputMessage="1" showErrorMessage="1" promptTitle="割引額がある場合は入力" prompt="割引がない場合は「0円」のままとしてください。" sqref="I3" xr:uid="{00000000-0002-0000-1500-000000000000}"/>
    <dataValidation allowBlank="1" showInputMessage="1" showErrorMessage="1" promptTitle="補助対象金額" prompt="補助対象額×（見積書金額-割引額）/見積書金額_x000a_で算出されます。" sqref="J3" xr:uid="{00000000-0002-0000-1500-000001000000}"/>
    <dataValidation allowBlank="1" showInputMessage="1" showErrorMessage="1" promptTitle="規格及び数量の入力" prompt="補助対象経費を計上する際、いずれも入力してください。" sqref="E30:F74" xr:uid="{00000000-0002-0000-15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500-000003000000}"/>
    <dataValidation allowBlank="1" showInputMessage="1" showErrorMessage="1" promptTitle="添付書類番号" prompt="種類、規格、数量、単価が全て適切に入力され、右の「判定」が「◎」と表示されると自動で番号が表示されます。" sqref="L30:L74" xr:uid="{00000000-0002-0000-1500-000004000000}"/>
    <dataValidation allowBlank="1" showInputMessage="1" showErrorMessage="1" promptTitle="金額の表示" prompt="数式が入力されているため、自動計算されます。" sqref="K30:K74 I30:I74" xr:uid="{00000000-0002-0000-1500-000005000000}"/>
    <dataValidation type="list" allowBlank="1" showInputMessage="1" showErrorMessage="1" promptTitle="設備、備品、その他の別を選択" prompt="当該行に記載する品目が_x000a_・「設備」（換気扇等立て付けのもの）_x000a_・備品（機材、什器等）_x000a_・その他（上記の該当しないもの）_x000a_の別をプルダウンから選択してください。" sqref="D34:D74" xr:uid="{00000000-0002-0000-1500-000006000000}">
      <formula1>"設備,備品,その他"</formula1>
    </dataValidation>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500-000007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33" xr:uid="{00000000-0002-0000-1500-000008000000}">
      <formula1>"設備,備品,その他"</formula1>
    </dataValidation>
  </dataValidations>
  <pageMargins left="0.7" right="0.7" top="0.75" bottom="0.75" header="0.3" footer="0.3"/>
  <pageSetup paperSize="9" scale="56"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r:uid="{00000000-0002-0000-1500-000009000000}">
          <x14:formula1>
            <xm:f>テーブル!$W$48:$W$50</xm:f>
          </x14:formula1>
          <xm:sqref>B34:B74</xm:sqref>
        </x14:dataValidation>
        <x14:dataValidation type="list" allowBlank="1" showInputMessage="1" showErrorMessage="1" xr:uid="{00000000-0002-0000-1500-00000A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r:uid="{00000000-0002-0000-1500-00000B000000}">
          <x14:formula1>
            <xm:f>OFFSET(テーブル!$W$48, 0, MATCH(B34,テーブル!$X$47:$Z$47,0), COUNTA(OFFSET(テーブル!$W$48,0,MATCH(B34,テーブル!$X$47:$Z$47,0),$W$30,1)),1)</xm:f>
          </x14:formula1>
          <xm:sqref>C34:C74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500-00000C000000}">
          <x14:formula1>
            <xm:f>OFFSET(テーブル!$W$48, 0, MATCH(B30,テーブル!$X$47:$Y$47,0), COUNTA(OFFSET(テーブル!$W$48,0,MATCH(B30,テーブル!$X$47:$Y$47,0),$W$30,1)),1)</xm:f>
          </x14:formula1>
          <xm:sqref>C30:C33</xm:sqref>
        </x14:dataValidation>
        <x14:dataValidation type="list" allowBlank="1" showInputMessage="1" showErrorMessage="1" promptTitle="配備先の別を選択" prompt="確保病床の共通使用のものか、個別のベッドに配備するものか選択してください。" xr:uid="{00000000-0002-0000-1500-00000D000000}">
          <x14:formula1>
            <xm:f>テーブル!$W$48:$W$49</xm:f>
          </x14:formula1>
          <xm:sqref>B30:B33</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F74"/>
  <sheetViews>
    <sheetView showGridLines="0" view="pageBreakPreview"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466</v>
      </c>
      <c r="C2" s="865"/>
      <c r="D2" s="866"/>
      <c r="H2" s="303" t="s">
        <v>631</v>
      </c>
      <c r="I2" s="105" t="s">
        <v>632</v>
      </c>
      <c r="J2" s="303" t="s">
        <v>63</v>
      </c>
      <c r="L2" s="105" t="str">
        <f>VLOOKUP(B2,テーブル!H37:J51,3,FALSE)</f>
        <v>様式2-9</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80.150000000000006" customHeight="1">
      <c r="A14" s="21"/>
      <c r="B14" s="875" t="str">
        <f>VLOOKUP(B2,テーブル!H37:I51,2,FALSE)</f>
        <v>（例）これまで確保病床○床に対し、超音波画像診断装置○台で対応してきた。当院では人工呼吸器での治療が必要な患者の受入を中心に行っており、超音波画像診断装置を用いた肺炎等の状態の確認が必要不可欠となっている。第7波の感染拡大時には超音波画像診断装置を用いた診療は1日あたり○人の患者に対して行う必要性があったが、○○の理由により、現在の保有台数では1日あたり○人分の対応しかできず、患者の治療に支障をきたす恐れがあることから受入れを断らざるを得ない状況が生じていた。今後も同様の状況が生じることが見込まれるため、新たに○人への対応が可能となるよう、○台の整備を行いたい。</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3DD8KA/gHvSXu0DRkblpqskxM98+qeqfcbRn0+PXznqE5vnDB0anKfS/oKwvt6FyS9ctzyZrn4gMasK7OV/0w==" saltValue="emU7AD01QZK0Tycpp8sLeQ=="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27" priority="4" operator="containsText" text="×">
      <formula>NOT(ISERROR(SEARCH("×",Z1)))</formula>
    </cfRule>
  </conditionalFormatting>
  <conditionalFormatting sqref="AA1:AA4 AA9:AA21 AA29:AA1048576 AA6:AA7 AA23:AA27">
    <cfRule type="containsText" dxfId="26" priority="3" operator="containsText" text="要修正">
      <formula>NOT(ISERROR(SEARCH("要修正",AA1)))</formula>
    </cfRule>
  </conditionalFormatting>
  <conditionalFormatting sqref="Z22">
    <cfRule type="containsText" dxfId="25" priority="2" operator="containsText" text="×">
      <formula>NOT(ISERROR(SEARCH("×",Z22)))</formula>
    </cfRule>
  </conditionalFormatting>
  <conditionalFormatting sqref="AA22">
    <cfRule type="containsText" dxfId="24" priority="1" operator="containsText" text="要修正">
      <formula>NOT(ISERROR(SEARCH("要修正",AA22)))</formula>
    </cfRule>
  </conditionalFormatting>
  <dataValidations count="9">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600-000000000000}">
      <formula1>"補助対象,補助対象外"</formula1>
    </dataValidation>
    <dataValidation type="list" allowBlank="1" showInputMessage="1" showErrorMessage="1" promptTitle="設備、備品、その他の別を選択" prompt="当該行に記載する品目が_x000a_・「設備」（換気扇等立て付けのもの）_x000a_・備品（機材、什器等）_x000a_・その他（上記の該当しないもの）_x000a_の別をプルダウンから選択してください。" sqref="D34:D74" xr:uid="{00000000-0002-0000-1600-000001000000}">
      <formula1>"設備,備品,その他"</formula1>
    </dataValidation>
    <dataValidation allowBlank="1" showInputMessage="1" showErrorMessage="1" promptTitle="金額の表示" prompt="数式が入力されているため、自動計算されます。" sqref="K30:K74 I30:I74" xr:uid="{00000000-0002-0000-1600-000002000000}"/>
    <dataValidation allowBlank="1" showInputMessage="1" showErrorMessage="1" promptTitle="添付書類番号" prompt="種類、規格、数量、単価が全て適切に入力され、右の「判定」が「◎」と表示されると自動で番号が表示されます。" sqref="L30:L74" xr:uid="{00000000-0002-0000-1600-000003000000}"/>
    <dataValidation allowBlank="1" showInputMessage="1" showErrorMessage="1" promptTitle="単価の入力" prompt="税抜額または税込額のいずれかを入力してください。_x000a_入力しない方は「0」は入力せず、空欄としてください。" sqref="G30:H74" xr:uid="{00000000-0002-0000-1600-000004000000}"/>
    <dataValidation allowBlank="1" showInputMessage="1" showErrorMessage="1" promptTitle="規格及び数量の入力" prompt="補助対象経費を計上する際、いずれも入力してください。" sqref="E30:F74" xr:uid="{00000000-0002-0000-1600-000005000000}"/>
    <dataValidation allowBlank="1" showInputMessage="1" showErrorMessage="1" promptTitle="補助対象金額" prompt="補助対象額×（見積書金額-割引額）/見積書金額_x000a_で算出されます。" sqref="J3" xr:uid="{00000000-0002-0000-1600-000006000000}"/>
    <dataValidation allowBlank="1" showInputMessage="1" showErrorMessage="1" promptTitle="割引額がある場合は入力" prompt="割引がない場合は「0円」のままとしてください。" sqref="I3" xr:uid="{00000000-0002-0000-1600-000007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33" xr:uid="{00000000-0002-0000-1600-000008000000}">
      <formula1>"設備,備品,その他"</formula1>
    </dataValidation>
  </dataValidations>
  <pageMargins left="0.7" right="0.7" top="0.75" bottom="0.75" header="0.3" footer="0.3"/>
  <pageSetup paperSize="9" scale="54"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Title="「用途先」病床の選択（左の「病床」を選択しないと表示されません。" prompt="ベッドに必ずしも紐付けるものではありませんが、１病床１台で紐付けした場合、不足する病床に番号付けをした場合の番号を選択してください。_x000a_（例）_x000a_　既存の設備２台_x000a_　既設病床２床、新設病床３床の場合_x000a_→既存の設備２台は、既設病床１～２に配備_x000a_　３台申請する場合は「新設病床１」～「新設病床３」を選択して品目等必要情報を入力" xr:uid="{00000000-0002-0000-1600-000009000000}">
          <x14:formula1>
            <xm:f>OFFSET(テーブル!$W$48, 0, MATCH(B34,テーブル!$X$47:$Z$47,0), COUNTA(OFFSET(テーブル!$W$48,0,MATCH(B34,テーブル!$X$47:$Z$47,0),$W$30,1)),1)</xm:f>
          </x14:formula1>
          <xm:sqref>C34:C74</xm:sqref>
        </x14:dataValidation>
        <x14:dataValidation type="list" allowBlank="1" showInputMessage="1" showErrorMessage="1" xr:uid="{00000000-0002-0000-1600-00000A000000}">
          <x14:formula1>
            <xm:f>テーブル!$H$37:$H$51</xm:f>
          </x14:formula1>
          <xm:sqref>B2:D2</xm:sqref>
        </x14:dataValidation>
        <x14:dataValidation type="list" allowBlank="1" showInputMessage="1" showErrorMessage="1" promptTitle="配備する病床の「新設」「既設」の別を選択" prompt="ベッドに必ずしも紐付けるものではありませんが、１病床１台で紐付けした場合、配備する病床が_x000a_・令和３年度までにコロナ対応病床として指定済のものか_x000a_・令和４年度に指定を受けた・指定予定か_x000a_いずれかを選択してください。" xr:uid="{00000000-0002-0000-1600-00000B000000}">
          <x14:formula1>
            <xm:f>テーブル!$W$48:$W$50</xm:f>
          </x14:formula1>
          <xm:sqref>B34:B74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600-00000C000000}">
          <x14:formula1>
            <xm:f>OFFSET(テーブル!$W$48, 0, MATCH(B30,テーブル!$X$47:$Y$47,0), COUNTA(OFFSET(テーブル!$W$48,0,MATCH(B30,テーブル!$X$47:$Y$47,0),$W$30,1)),1)</xm:f>
          </x14:formula1>
          <xm:sqref>C30:C33</xm:sqref>
        </x14:dataValidation>
        <x14:dataValidation type="list" allowBlank="1" showInputMessage="1" showErrorMessage="1" promptTitle="配備先の別を選択" prompt="確保病床の共通使用のものか、個別のベッドに配備するものか選択してください。" xr:uid="{00000000-0002-0000-1600-00000D000000}">
          <x14:formula1>
            <xm:f>テーブル!$W$48:$W$49</xm:f>
          </x14:formula1>
          <xm:sqref>B30:B33</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F74"/>
  <sheetViews>
    <sheetView showGridLines="0" view="pageBreakPreview"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467</v>
      </c>
      <c r="C2" s="865"/>
      <c r="D2" s="866"/>
      <c r="H2" s="303" t="s">
        <v>631</v>
      </c>
      <c r="I2" s="105" t="s">
        <v>632</v>
      </c>
      <c r="J2" s="303" t="s">
        <v>63</v>
      </c>
      <c r="L2" s="105" t="str">
        <f>VLOOKUP(B2,テーブル!H37:J51,3,FALSE)</f>
        <v>様式2-10</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100" customHeight="1">
      <c r="A14" s="21"/>
      <c r="B14" s="875" t="str">
        <f>VLOOKUP(B2,テーブル!H37:I51,2,FALSE)</f>
        <v>（例）当院は重点医療機関として指定を受ける以前から透析患者の入院受け入れを行っており、これまで透析患者の病床をコロナ病床に転換して対応を行ってきた。この度の第７波の感染拡大により、当院が透析患者の受け入れのため確保している病床数を超える入院受け入れ要請が生じ、近隣の医療機関に受け入れ協力をせざるを得ない状況が生じた。こうした受け入れ要請も感染者数の増加に伴い圏域内の医療機関でも対応が難しくなり、遠隔の医療機関への搬送事例が生じたことから、こうした事態を未然に防ぐため、新たに○台の追加整備を行うこととしたい。（整備台数の検討にあたってのピーク時の陽性患者数の推移及び受け入れ要請を断らざるを得なかったケースの詳細については別紙のとおり。）</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e9CiM9hCPpmBqAt/S4RGl3Q1Y7L+SupvWapHoCcuPHsjMpAFtu+8fmv3vXOqGH6vE0Ya6vZUGGUN/Wsy0F3Fkg==" saltValue="3uFkfCLN2qpr7w6HmZ0NKg=="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23" priority="4" operator="containsText" text="×">
      <formula>NOT(ISERROR(SEARCH("×",Z1)))</formula>
    </cfRule>
  </conditionalFormatting>
  <conditionalFormatting sqref="AA1:AA4 AA9:AA21 AA29:AA1048576 AA6:AA7 AA23:AA27">
    <cfRule type="containsText" dxfId="22" priority="3" operator="containsText" text="要修正">
      <formula>NOT(ISERROR(SEARCH("要修正",AA1)))</formula>
    </cfRule>
  </conditionalFormatting>
  <conditionalFormatting sqref="Z22">
    <cfRule type="containsText" dxfId="21" priority="2" operator="containsText" text="×">
      <formula>NOT(ISERROR(SEARCH("×",Z22)))</formula>
    </cfRule>
  </conditionalFormatting>
  <conditionalFormatting sqref="AA22">
    <cfRule type="containsText" dxfId="20" priority="1" operator="containsText" text="要修正">
      <formula>NOT(ISERROR(SEARCH("要修正",AA22)))</formula>
    </cfRule>
  </conditionalFormatting>
  <dataValidations count="8">
    <dataValidation allowBlank="1" showInputMessage="1" showErrorMessage="1" promptTitle="割引額がある場合は入力" prompt="割引がない場合は「0円」のままとしてください。" sqref="I3" xr:uid="{00000000-0002-0000-1700-000000000000}"/>
    <dataValidation allowBlank="1" showInputMessage="1" showErrorMessage="1" promptTitle="補助対象金額" prompt="補助対象額×（見積書金額-割引額）/見積書金額_x000a_で算出されます。" sqref="J3" xr:uid="{00000000-0002-0000-1700-000001000000}"/>
    <dataValidation allowBlank="1" showInputMessage="1" showErrorMessage="1" promptTitle="規格及び数量の入力" prompt="補助対象経費を計上する際、いずれも入力してください。" sqref="E30:F74" xr:uid="{00000000-0002-0000-17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700-000003000000}"/>
    <dataValidation allowBlank="1" showInputMessage="1" showErrorMessage="1" promptTitle="添付書類番号" prompt="種類、規格、数量、単価が全て適切に入力され、右の「判定」が「◎」と表示されると自動で番号が表示されます。" sqref="L30:L74" xr:uid="{00000000-0002-0000-1700-000004000000}"/>
    <dataValidation allowBlank="1" showInputMessage="1" showErrorMessage="1" promptTitle="金額の表示" prompt="数式が入力されているため、自動計算されます。" sqref="K30:K74 I30:I74" xr:uid="{00000000-0002-0000-1700-00000500000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700-000006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700-000007000000}">
      <formula1>"設備,備品,その他"</formula1>
    </dataValidation>
  </dataValidations>
  <pageMargins left="0.7" right="0.7" top="0.75" bottom="0.75" header="0.3" footer="0.3"/>
  <pageSetup paperSize="9" scale="53"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700-000008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700-000009000000}">
          <x14:formula1>
            <xm:f>OFFSET(テーブル!$W$48, 0, MATCH(B30,テーブル!$X$47:$Y$47,0), COUNTA(OFFSET(テーブル!$W$48,0,MATCH(B30,テーブル!$X$47:$Y$47,0),$W$30,1)),1)</xm:f>
          </x14:formula1>
          <xm:sqref>C30:C74</xm:sqref>
        </x14:dataValidation>
        <x14:dataValidation type="list" allowBlank="1" showInputMessage="1" showErrorMessage="1" promptTitle="配備先の別を選択" prompt="確保病床の共通使用のものか、個別のベッドに配備するものか選択してください。" xr:uid="{00000000-0002-0000-1700-00000A000000}">
          <x14:formula1>
            <xm:f>テーブル!$W$48:$W$49</xm:f>
          </x14:formula1>
          <xm:sqref>B30:B74</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F74"/>
  <sheetViews>
    <sheetView showGridLines="0" view="pageBreakPreview"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468</v>
      </c>
      <c r="C2" s="865"/>
      <c r="D2" s="866"/>
      <c r="H2" s="303" t="s">
        <v>631</v>
      </c>
      <c r="I2" s="105" t="s">
        <v>632</v>
      </c>
      <c r="J2" s="303" t="s">
        <v>63</v>
      </c>
      <c r="L2" s="105" t="str">
        <f>VLOOKUP(B2,テーブル!H37:J51,3,FALSE)</f>
        <v>様式2-11</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80.150000000000006" customHeight="1">
      <c r="A14" s="21"/>
      <c r="B14" s="875" t="str">
        <f>VLOOKUP(B2,テーブル!H37:I51,2,FALSE)</f>
        <v>（例）これまで確保病床○床に対し、気管支鏡○台で対応してきた。第７波までの患者の受入れ状況から今後気管支鏡を用いた治療は1日あたり○人の患者に対して行う必要性が見込まれるが、使用ごとに消毒する必要があることから、現在の保有台数では1日あたり○人の対応しかすることができず、患者の治療に支障をきたす恐れがある。
　そのため、当院ではこのたび気管支鏡を扱える医師を○人から○人に増やすとともに、エアロゾル対策を行った部屋を○室用意し、今後購入予定の気管支鏡を活用する環境を整えた。新たに○台の整備を行うことで、1日あたり○人の患者に対応できるようになることから、今回事前協議するものである。</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1jLGGTgQZsE8xSjD2HASPUx4TqbTCKVgVIvUzfz/qZmj6K5DWAr5+G3H08NHYyLc0rQD22MJ4vbM5l2g6istuw==" saltValue="hLKKOkmm8+fOwxkdvbi9Dg=="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19" priority="4" operator="containsText" text="×">
      <formula>NOT(ISERROR(SEARCH("×",Z1)))</formula>
    </cfRule>
  </conditionalFormatting>
  <conditionalFormatting sqref="AA1:AA4 AA9:AA21 AA29:AA1048576 AA6:AA7 AA23:AA27">
    <cfRule type="containsText" dxfId="18" priority="3" operator="containsText" text="要修正">
      <formula>NOT(ISERROR(SEARCH("要修正",AA1)))</formula>
    </cfRule>
  </conditionalFormatting>
  <conditionalFormatting sqref="Z22">
    <cfRule type="containsText" dxfId="17" priority="2" operator="containsText" text="×">
      <formula>NOT(ISERROR(SEARCH("×",Z22)))</formula>
    </cfRule>
  </conditionalFormatting>
  <conditionalFormatting sqref="AA22">
    <cfRule type="containsText" dxfId="16" priority="1" operator="containsText" text="要修正">
      <formula>NOT(ISERROR(SEARCH("要修正",AA22)))</formula>
    </cfRule>
  </conditionalFormatting>
  <dataValidations count="8">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800-000000000000}">
      <formula1>"補助対象,補助対象外"</formula1>
    </dataValidation>
    <dataValidation allowBlank="1" showInputMessage="1" showErrorMessage="1" promptTitle="金額の表示" prompt="数式が入力されているため、自動計算されます。" sqref="K30:K74 I30:I74" xr:uid="{00000000-0002-0000-1800-000001000000}"/>
    <dataValidation allowBlank="1" showInputMessage="1" showErrorMessage="1" promptTitle="添付書類番号" prompt="種類、規格、数量、単価が全て適切に入力され、右の「判定」が「◎」と表示されると自動で番号が表示されます。" sqref="L30:L74" xr:uid="{00000000-0002-0000-18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800-000003000000}"/>
    <dataValidation allowBlank="1" showInputMessage="1" showErrorMessage="1" promptTitle="規格及び数量の入力" prompt="補助対象経費を計上する際、いずれも入力してください。" sqref="E30:F74" xr:uid="{00000000-0002-0000-1800-000004000000}"/>
    <dataValidation allowBlank="1" showInputMessage="1" showErrorMessage="1" promptTitle="補助対象金額" prompt="補助対象額×（見積書金額-割引額）/見積書金額_x000a_で算出されます。" sqref="J3" xr:uid="{00000000-0002-0000-1800-000005000000}"/>
    <dataValidation allowBlank="1" showInputMessage="1" showErrorMessage="1" promptTitle="割引額がある場合は入力" prompt="割引がない場合は「0円」のままとしてください。" sqref="I3" xr:uid="{00000000-0002-0000-18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800-000007000000}">
      <formula1>"設備,備品,その他"</formula1>
    </dataValidation>
  </dataValidations>
  <pageMargins left="0.7" right="0.7" top="0.75" bottom="0.75" header="0.3" footer="0.3"/>
  <pageSetup paperSize="9" scale="54"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8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8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800-00000A000000}">
          <x14:formula1>
            <xm:f>OFFSET(テーブル!$W$48, 0, MATCH(B30,テーブル!$X$47:$Y$47,0), COUNTA(OFFSET(テーブル!$W$48,0,MATCH(B30,テーブル!$X$47:$Y$47,0),$W$30,1)),1)</xm:f>
          </x14:formula1>
          <xm:sqref>C30:C74</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F74"/>
  <sheetViews>
    <sheetView showGridLines="0" view="pageBreakPreview" topLeftCell="A17"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469</v>
      </c>
      <c r="C2" s="865"/>
      <c r="D2" s="866"/>
      <c r="H2" s="303" t="s">
        <v>631</v>
      </c>
      <c r="I2" s="105" t="s">
        <v>632</v>
      </c>
      <c r="J2" s="303" t="s">
        <v>63</v>
      </c>
      <c r="L2" s="105" t="str">
        <f>VLOOKUP(B2,テーブル!H37:J51,3,FALSE)</f>
        <v>様式2-12</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60" customHeight="1">
      <c r="A14" s="21"/>
      <c r="B14" s="875" t="str">
        <f>VLOOKUP(B2,テーブル!H37:I51,2,FALSE)</f>
        <v>（例）当院は総合病院として１病棟を重点病床として指定を受けているが、入院患者の肺炎・消化器症状を撮影するためのCT撮影装置は確保病床とは別棟にある撮影室までの移動を要した。移動にあたっては隔離搬送用のストレッチャーを使用していたが、別棟への移動の負担及び一般入院患者からの院内感染への懸念の声が上がっているのも事実としてあるため、CT室を新たに重点病床病棟に新設し、コロナ専用CT撮影機を配備することとしたい。</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h9rnZBoop8kDGSsVdtMuDn3aG+M3nxjonPcVr4HDyx9ZAc4/n6hvpV+PPclylaMSbjIeB01ZrQxfCpPrJUC5Rg==" saltValue="PLfpEqyjH/UiiFa8CpBZlQ=="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15" priority="4" operator="containsText" text="×">
      <formula>NOT(ISERROR(SEARCH("×",Z1)))</formula>
    </cfRule>
  </conditionalFormatting>
  <conditionalFormatting sqref="AA1:AA4 AA9:AA21 AA29:AA1048576 AA6:AA7 AA23:AA27">
    <cfRule type="containsText" dxfId="14" priority="3" operator="containsText" text="要修正">
      <formula>NOT(ISERROR(SEARCH("要修正",AA1)))</formula>
    </cfRule>
  </conditionalFormatting>
  <conditionalFormatting sqref="Z22">
    <cfRule type="containsText" dxfId="13" priority="2" operator="containsText" text="×">
      <formula>NOT(ISERROR(SEARCH("×",Z22)))</formula>
    </cfRule>
  </conditionalFormatting>
  <conditionalFormatting sqref="AA22">
    <cfRule type="containsText" dxfId="12" priority="1" operator="containsText" text="要修正">
      <formula>NOT(ISERROR(SEARCH("要修正",AA22)))</formula>
    </cfRule>
  </conditionalFormatting>
  <dataValidations count="8">
    <dataValidation allowBlank="1" showInputMessage="1" showErrorMessage="1" promptTitle="割引額がある場合は入力" prompt="割引がない場合は「0円」のままとしてください。" sqref="I3" xr:uid="{00000000-0002-0000-1900-000000000000}"/>
    <dataValidation allowBlank="1" showInputMessage="1" showErrorMessage="1" promptTitle="補助対象金額" prompt="補助対象額×（見積書金額-割引額）/見積書金額_x000a_で算出されます。" sqref="J3" xr:uid="{00000000-0002-0000-1900-000001000000}"/>
    <dataValidation allowBlank="1" showInputMessage="1" showErrorMessage="1" promptTitle="規格及び数量の入力" prompt="補助対象経費を計上する際、いずれも入力してください。" sqref="E30:F74" xr:uid="{00000000-0002-0000-19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900-000003000000}"/>
    <dataValidation allowBlank="1" showInputMessage="1" showErrorMessage="1" promptTitle="添付書類番号" prompt="種類、規格、数量、単価が全て適切に入力され、右の「判定」が「◎」と表示されると自動で番号が表示されます。" sqref="L30:L74" xr:uid="{00000000-0002-0000-1900-000004000000}"/>
    <dataValidation allowBlank="1" showInputMessage="1" showErrorMessage="1" promptTitle="金額の表示" prompt="数式が入力されているため、自動計算されます。" sqref="K30:K74 I30:I74" xr:uid="{00000000-0002-0000-1900-00000500000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900-000006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900-000007000000}">
      <formula1>"設備,備品,その他"</formula1>
    </dataValidation>
  </dataValidations>
  <pageMargins left="0.7" right="0.7" top="0.75" bottom="0.75" header="0.3" footer="0.3"/>
  <pageSetup paperSize="9" scale="5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900-000008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900-000009000000}">
          <x14:formula1>
            <xm:f>OFFSET(テーブル!$W$48, 0, MATCH(B30,テーブル!$X$47:$Y$47,0), COUNTA(OFFSET(テーブル!$W$48,0,MATCH(B30,テーブル!$X$47:$Y$47,0),$W$30,1)),1)</xm:f>
          </x14:formula1>
          <xm:sqref>C30:C74</xm:sqref>
        </x14:dataValidation>
        <x14:dataValidation type="list" allowBlank="1" showInputMessage="1" showErrorMessage="1" promptTitle="配備先の別を選択" prompt="確保病床の共通使用のものか、個別のベッドに配備するものか選択してください。" xr:uid="{00000000-0002-0000-1900-00000A000000}">
          <x14:formula1>
            <xm:f>テーブル!$W$48:$W$49</xm:f>
          </x14:formula1>
          <xm:sqref>B30:B74</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F74"/>
  <sheetViews>
    <sheetView showGridLines="0" view="pageBreakPreview"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470</v>
      </c>
      <c r="C2" s="865"/>
      <c r="D2" s="866"/>
      <c r="H2" s="303" t="s">
        <v>631</v>
      </c>
      <c r="I2" s="105" t="s">
        <v>632</v>
      </c>
      <c r="J2" s="303" t="s">
        <v>63</v>
      </c>
      <c r="L2" s="105" t="str">
        <f>VLOOKUP(B2,テーブル!H37:J51,3,FALSE)</f>
        <v>様式2-13</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80.150000000000006" customHeight="1">
      <c r="A14" s="21"/>
      <c r="B14" s="875" t="str">
        <f>VLOOKUP(B2,テーブル!H37:I51,2,FALSE)</f>
        <v>（例）これまで確保病床○床に対し、生体情報モニタ○台で対応してきた。生体情報のモニタリングが必要な患者は急性期の患者や、○○の所見のある患者であるが、当院は○月○日に新たに重点医療機関に指定され、これまで受入対応ができなかった当該患者を○床分受け入れることができるようになった。
　また、当院の所在する地域は高齢者等の重症化リスクの高い患者が多く、今後そのような高リスク患者の受け入れを優先的に行っていくことから、当該患者の受け入れが可能な○床について生体情報モニタでのモニタリングが必要不可欠となるため、不足分の○台を整備したい。</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5/dKvIErtBcmFfhZVEI5zYjVjxBeIOD6jfGxiGmH563EPH4W7AiLL9Jl0HSPB8eI8vXcvbDQCpAH9IaamBls2A==" saltValue="FOAUXDQw0wQb4p0GGS0T9g=="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11" priority="4" operator="containsText" text="×">
      <formula>NOT(ISERROR(SEARCH("×",Z1)))</formula>
    </cfRule>
  </conditionalFormatting>
  <conditionalFormatting sqref="AA1:AA4 AA9:AA21 AA29:AA1048576 AA6:AA7 AA23:AA27">
    <cfRule type="containsText" dxfId="10" priority="3" operator="containsText" text="要修正">
      <formula>NOT(ISERROR(SEARCH("要修正",AA1)))</formula>
    </cfRule>
  </conditionalFormatting>
  <conditionalFormatting sqref="Z22">
    <cfRule type="containsText" dxfId="9" priority="2" operator="containsText" text="×">
      <formula>NOT(ISERROR(SEARCH("×",Z22)))</formula>
    </cfRule>
  </conditionalFormatting>
  <conditionalFormatting sqref="AA22">
    <cfRule type="containsText" dxfId="8" priority="1" operator="containsText" text="要修正">
      <formula>NOT(ISERROR(SEARCH("要修正",AA22)))</formula>
    </cfRule>
  </conditionalFormatting>
  <dataValidations count="8">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A00-000000000000}">
      <formula1>"補助対象,補助対象外"</formula1>
    </dataValidation>
    <dataValidation allowBlank="1" showInputMessage="1" showErrorMessage="1" promptTitle="金額の表示" prompt="数式が入力されているため、自動計算されます。" sqref="K30:K74 I30:I74" xr:uid="{00000000-0002-0000-1A00-000001000000}"/>
    <dataValidation allowBlank="1" showInputMessage="1" showErrorMessage="1" promptTitle="添付書類番号" prompt="種類、規格、数量、単価が全て適切に入力され、右の「判定」が「◎」と表示されると自動で番号が表示されます。" sqref="L30:L74" xr:uid="{00000000-0002-0000-1A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A00-000003000000}"/>
    <dataValidation allowBlank="1" showInputMessage="1" showErrorMessage="1" promptTitle="規格及び数量の入力" prompt="補助対象経費を計上する際、いずれも入力してください。" sqref="E30:F74" xr:uid="{00000000-0002-0000-1A00-000004000000}"/>
    <dataValidation allowBlank="1" showInputMessage="1" showErrorMessage="1" promptTitle="補助対象金額" prompt="補助対象額×（見積書金額-割引額）/見積書金額_x000a_で算出されます。" sqref="J3" xr:uid="{00000000-0002-0000-1A00-000005000000}"/>
    <dataValidation allowBlank="1" showInputMessage="1" showErrorMessage="1" promptTitle="割引額がある場合は入力" prompt="割引がない場合は「0円」のままとしてください。" sqref="I3" xr:uid="{00000000-0002-0000-1A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A00-000007000000}">
      <formula1>"設備,備品,その他"</formula1>
    </dataValidation>
  </dataValidations>
  <pageMargins left="0.7" right="0.7" top="0.75" bottom="0.75" header="0.3" footer="0.3"/>
  <pageSetup paperSize="9" scale="54"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A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A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A00-00000A000000}">
          <x14:formula1>
            <xm:f>OFFSET(テーブル!$W$48, 0, MATCH(B30,テーブル!$X$47:$Y$47,0), COUNTA(OFFSET(テーブル!$W$48,0,MATCH(B30,テーブル!$X$47:$Y$47,0),$W$30,1)),1)</xm:f>
          </x14:formula1>
          <xm:sqref>C30:C74</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F74"/>
  <sheetViews>
    <sheetView showGridLines="0" view="pageBreakPreview" topLeftCell="A19"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471</v>
      </c>
      <c r="C2" s="865"/>
      <c r="D2" s="866"/>
      <c r="H2" s="303" t="s">
        <v>631</v>
      </c>
      <c r="I2" s="105" t="s">
        <v>632</v>
      </c>
      <c r="J2" s="303" t="s">
        <v>63</v>
      </c>
      <c r="L2" s="105" t="str">
        <f>VLOOKUP(B2,テーブル!H37:J51,3,FALSE)</f>
        <v>様式2-14</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100" customHeight="1">
      <c r="A14" s="21"/>
      <c r="B14" s="875" t="str">
        <f>VLOOKUP(B2,テーブル!H37:I51,2,FALSE)</f>
        <v>（例）当院は重点医療機関として周産期妊婦の入院受け入れを行ってきたが、この度の第７波の感染拡大により、当院が陽性妊婦の受け入れのため確保している病床数を超える入院受け入れ要請が生じ、近隣の医療機関に受け入れ協力をせざるを得ない状況が生じた。圏域内の一般病床を有する病院及び有床診療所に陽性妊婦の受入協力を打診したが、そもそも医療機関が少ないことも相まり、調整は不調に終わった。今後の感染拡大を前に、遠隔の医療機関への搬送及び容態悪化を避けるためにも自院での受け入れ体制の強化が喫緊の課題となっており、新たに○台の追加整備を行うこととしたい。（整備台数の検討にあたってのピーク時の陽性患者数の推移及び受け入れ要請を断らざるを得なかったケースの詳細については別紙のとおり。）</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oBO8kcekGfpFdHrOPA7UtVEkS5jsjAuibOVF7KF/JTQ/KBC5FKoXazBWagC+FnwN62e+buIv8656Lnx3sNjFWg==" saltValue="hUcaveTZNj0d22tQmNkjgw=="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7" priority="4" operator="containsText" text="×">
      <formula>NOT(ISERROR(SEARCH("×",Z1)))</formula>
    </cfRule>
  </conditionalFormatting>
  <conditionalFormatting sqref="AA1:AA4 AA9:AA21 AA29:AA1048576 AA6:AA7 AA23:AA27">
    <cfRule type="containsText" dxfId="6" priority="3" operator="containsText" text="要修正">
      <formula>NOT(ISERROR(SEARCH("要修正",AA1)))</formula>
    </cfRule>
  </conditionalFormatting>
  <conditionalFormatting sqref="Z22">
    <cfRule type="containsText" dxfId="5" priority="2" operator="containsText" text="×">
      <formula>NOT(ISERROR(SEARCH("×",Z22)))</formula>
    </cfRule>
  </conditionalFormatting>
  <conditionalFormatting sqref="AA22">
    <cfRule type="containsText" dxfId="4" priority="1" operator="containsText" text="要修正">
      <formula>NOT(ISERROR(SEARCH("要修正",AA22)))</formula>
    </cfRule>
  </conditionalFormatting>
  <dataValidations count="8">
    <dataValidation allowBlank="1" showInputMessage="1" showErrorMessage="1" promptTitle="割引額がある場合は入力" prompt="割引がない場合は「0円」のままとしてください。" sqref="I3" xr:uid="{00000000-0002-0000-1B00-000000000000}"/>
    <dataValidation allowBlank="1" showInputMessage="1" showErrorMessage="1" promptTitle="補助対象金額" prompt="補助対象額×（見積書金額-割引額）/見積書金額_x000a_で算出されます。" sqref="J3" xr:uid="{00000000-0002-0000-1B00-000001000000}"/>
    <dataValidation allowBlank="1" showInputMessage="1" showErrorMessage="1" promptTitle="規格及び数量の入力" prompt="補助対象経費を計上する際、いずれも入力してください。" sqref="E30:F74" xr:uid="{00000000-0002-0000-1B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B00-000003000000}"/>
    <dataValidation allowBlank="1" showInputMessage="1" showErrorMessage="1" promptTitle="添付書類番号" prompt="種類、規格、数量、単価が全て適切に入力され、右の「判定」が「◎」と表示されると自動で番号が表示されます。" sqref="L30:L74" xr:uid="{00000000-0002-0000-1B00-000004000000}"/>
    <dataValidation allowBlank="1" showInputMessage="1" showErrorMessage="1" promptTitle="金額の表示" prompt="数式が入力されているため、自動計算されます。" sqref="K30:K74 I30:I74" xr:uid="{00000000-0002-0000-1B00-000005000000}"/>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B00-000006000000}">
      <formula1>"補助対象,補助対象外"</formula1>
    </dataValidation>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B00-000007000000}">
      <formula1>"設備,備品,その他"</formula1>
    </dataValidation>
  </dataValidations>
  <pageMargins left="0.7" right="0.7" top="0.75" bottom="0.75" header="0.3" footer="0.3"/>
  <pageSetup paperSize="9" scale="53"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B00-000008000000}">
          <x14:formula1>
            <xm:f>テーブル!$H$37:$H$51</xm:f>
          </x14:formula1>
          <xm:sqref>B2:D2</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B00-000009000000}">
          <x14:formula1>
            <xm:f>OFFSET(テーブル!$W$48, 0, MATCH(B30,テーブル!$X$47:$Y$47,0), COUNTA(OFFSET(テーブル!$W$48,0,MATCH(B30,テーブル!$X$47:$Y$47,0),$W$30,1)),1)</xm:f>
          </x14:formula1>
          <xm:sqref>C30:C74</xm:sqref>
        </x14:dataValidation>
        <x14:dataValidation type="list" allowBlank="1" showInputMessage="1" showErrorMessage="1" promptTitle="配備先の別を選択" prompt="確保病床の共通使用のものか、個別のベッドに配備するものか選択してください。" xr:uid="{00000000-0002-0000-1B00-00000A000000}">
          <x14:formula1>
            <xm:f>テーブル!$W$48:$W$49</xm:f>
          </x14:formula1>
          <xm:sqref>B30:B74</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F74"/>
  <sheetViews>
    <sheetView showGridLines="0" view="pageBreakPreview" zoomScale="80" zoomScaleNormal="80" zoomScaleSheetLayoutView="80" workbookViewId="0">
      <selection activeCell="K2" sqref="K2:L2"/>
    </sheetView>
  </sheetViews>
  <sheetFormatPr defaultColWidth="8.58203125" defaultRowHeight="18"/>
  <cols>
    <col min="1" max="1" width="3.58203125" style="16" customWidth="1"/>
    <col min="2" max="4" width="8.58203125" style="108"/>
    <col min="5" max="5" width="30.58203125" style="108" customWidth="1"/>
    <col min="6" max="6" width="8.58203125" style="108"/>
    <col min="7" max="11" width="12.58203125" style="108" customWidth="1"/>
    <col min="12" max="12" width="8.58203125" style="108"/>
    <col min="13" max="13" width="3.58203125" style="108" customWidth="1"/>
    <col min="14" max="23" width="8.58203125" style="108"/>
    <col min="24" max="24" width="8.58203125" style="108" customWidth="1"/>
    <col min="25" max="25" width="3.58203125" style="16" customWidth="1"/>
    <col min="26" max="26" width="8.58203125" style="108"/>
    <col min="27" max="27" width="40.58203125" style="108" customWidth="1"/>
    <col min="28" max="28" width="3.58203125" style="108" customWidth="1"/>
    <col min="29" max="32" width="8.58203125" style="108"/>
    <col min="33" max="33" width="30.58203125" style="108" customWidth="1"/>
    <col min="34" max="16384" width="8.58203125" style="108"/>
  </cols>
  <sheetData>
    <row r="1" spans="1:32" ht="20.149999999999999" customHeight="1">
      <c r="K1" s="870" t="str">
        <f>"《２次募集》"&amp;はじめに入力してください!AE20</f>
        <v>《２次募集》</v>
      </c>
      <c r="L1" s="779"/>
      <c r="M1" s="779"/>
    </row>
    <row r="2" spans="1:32" ht="20.149999999999999" customHeight="1">
      <c r="B2" s="864" t="s">
        <v>472</v>
      </c>
      <c r="C2" s="865"/>
      <c r="D2" s="866"/>
      <c r="H2" s="303" t="s">
        <v>631</v>
      </c>
      <c r="I2" s="105" t="s">
        <v>632</v>
      </c>
      <c r="J2" s="303" t="s">
        <v>63</v>
      </c>
      <c r="L2" s="105" t="str">
        <f>VLOOKUP(B2,テーブル!H37:J51,3,FALSE)</f>
        <v>様式2-15</v>
      </c>
      <c r="Z2" s="105" t="s">
        <v>454</v>
      </c>
      <c r="AA2" s="105" t="s">
        <v>452</v>
      </c>
      <c r="AC2" s="105" t="str">
        <f>Z9</f>
        <v>○</v>
      </c>
      <c r="AD2" s="105" t="str">
        <f>Z15</f>
        <v>○</v>
      </c>
      <c r="AE2" s="105" t="str">
        <f>Z22</f>
        <v>○</v>
      </c>
      <c r="AF2" s="105" t="str">
        <f>Z26</f>
        <v>○</v>
      </c>
    </row>
    <row r="3" spans="1:32" ht="20.149999999999999" customHeight="1">
      <c r="B3" s="867"/>
      <c r="C3" s="868"/>
      <c r="D3" s="869"/>
      <c r="H3" s="304">
        <f>SUM(I30:I74)</f>
        <v>0</v>
      </c>
      <c r="I3" s="12"/>
      <c r="J3" s="304">
        <f>IFERROR(ROUNDUP(SUM(K30:K74)*((H3-I3)/H3),0),0)</f>
        <v>0</v>
      </c>
      <c r="Z3" s="850" t="str">
        <f xml:space="preserve">
IF(COUNTIF(AC2:AF2,"○")=4,"○",
IF(OR(COUNTIF(AC2:AF2,"×")&gt;=1,COUNTIF(AC2:AF2,"◎")&lt;4,COUNTIF(AC2:AF2,"○")&lt;4),"×",
IF(COUNTIF(AC2:AF2,"◎")=4,"◎")))</f>
        <v>○</v>
      </c>
      <c r="AA3" s="852" t="str">
        <f xml:space="preserve">
IF(Z3="○","整備しない場合は入力不要です。",
IF(Z3="×","【要修正】入力が不十分な箇所があります。",
IF(Z3="◎","適切に入力がされました。")))</f>
        <v>整備しない場合は入力不要です。</v>
      </c>
    </row>
    <row r="4" spans="1:32" ht="10" customHeight="1">
      <c r="Z4" s="850"/>
      <c r="AA4" s="852"/>
    </row>
    <row r="5" spans="1:32" ht="20.149999999999999" customHeight="1">
      <c r="B5" s="19" t="s">
        <v>74</v>
      </c>
      <c r="C5" s="19"/>
      <c r="D5" s="19"/>
      <c r="E5" s="19"/>
      <c r="F5" s="19"/>
      <c r="G5" s="19"/>
      <c r="H5" s="19"/>
      <c r="I5" s="19"/>
      <c r="J5" s="19"/>
      <c r="K5" s="19"/>
      <c r="L5" s="19"/>
      <c r="Z5" s="851"/>
      <c r="AA5" s="853"/>
    </row>
    <row r="6" spans="1:32" ht="10" customHeight="1"/>
    <row r="7" spans="1:32" ht="20.149999999999999" customHeight="1">
      <c r="B7" s="19" t="s">
        <v>75</v>
      </c>
      <c r="C7" s="19"/>
      <c r="D7" s="19"/>
      <c r="E7" s="19"/>
      <c r="F7" s="19"/>
      <c r="G7" s="19"/>
      <c r="H7" s="19"/>
      <c r="Z7" s="846" t="s">
        <v>450</v>
      </c>
      <c r="AA7" s="846" t="s">
        <v>452</v>
      </c>
    </row>
    <row r="8" spans="1:32" ht="10" customHeight="1">
      <c r="Z8" s="847"/>
      <c r="AA8" s="847"/>
    </row>
    <row r="9" spans="1:32" ht="35.15" customHeight="1">
      <c r="B9" s="105" t="s">
        <v>76</v>
      </c>
      <c r="C9" s="26"/>
      <c r="D9" s="105" t="s">
        <v>77</v>
      </c>
      <c r="E9" s="871"/>
      <c r="F9" s="872"/>
      <c r="G9" s="872"/>
      <c r="H9" s="872"/>
      <c r="I9" s="872"/>
      <c r="J9" s="873"/>
      <c r="K9" s="873"/>
      <c r="L9" s="874"/>
      <c r="Z9" s="105" t="str">
        <f xml:space="preserve">
IF(SUM(COUNTA(C9),COUNTA(E9))=0,"○",
IF(AND(SUM(COUNTA(C9),COUNTA(E9))&gt;0,SUM(COUNTA(C9),COUNTA(E9))&lt;2),"×",
IF(SUM(COUNTA(C9),COUNTA(E9))=2,"◎"
)))</f>
        <v>○</v>
      </c>
      <c r="AA9" s="106" t="str">
        <f xml:space="preserve">
IF(SUM(COUNTA(C9),COUNTA(E9))=0,"整備しない場合は入力不要です。",
IF(AND(SUM(COUNTA(C9),COUNTA(E9))&gt;0,SUM(COUNTA(C9),COUNTA(E9))&lt;2),"【要修正】入力されていない箇所があります。",
IF(SUM(COUNTA(C9),COUNTA(E9))=2,"いずれも入力された状態になりました。"
)))</f>
        <v>整備しない場合は入力不要です。</v>
      </c>
    </row>
    <row r="10" spans="1:32" ht="20.149999999999999" customHeight="1">
      <c r="B10" s="877" t="s">
        <v>538</v>
      </c>
      <c r="C10" s="878"/>
      <c r="D10" s="878"/>
      <c r="E10" s="878"/>
      <c r="F10" s="878"/>
      <c r="G10" s="878"/>
      <c r="H10" s="878"/>
      <c r="I10" s="878"/>
      <c r="J10" s="878"/>
      <c r="K10" s="878"/>
      <c r="L10" s="878"/>
    </row>
    <row r="11" spans="1:32" ht="20.149999999999999" customHeight="1"/>
    <row r="12" spans="1:32" ht="20.149999999999999" customHeight="1">
      <c r="B12" s="19" t="s">
        <v>78</v>
      </c>
      <c r="C12" s="19"/>
      <c r="D12" s="19"/>
      <c r="E12" s="19"/>
      <c r="F12" s="19"/>
      <c r="G12" s="19"/>
      <c r="H12" s="19"/>
    </row>
    <row r="13" spans="1:32" ht="40" customHeight="1">
      <c r="B13" s="854" t="s">
        <v>633</v>
      </c>
      <c r="C13" s="607"/>
      <c r="D13" s="607"/>
      <c r="E13" s="607"/>
      <c r="F13" s="607"/>
      <c r="G13" s="607"/>
      <c r="H13" s="607"/>
      <c r="I13" s="607"/>
      <c r="J13" s="607"/>
      <c r="K13" s="607"/>
      <c r="L13" s="607"/>
    </row>
    <row r="14" spans="1:32" s="107" customFormat="1" ht="100" customHeight="1">
      <c r="A14" s="21"/>
      <c r="B14" s="875" t="str">
        <f>VLOOKUP(B2,テーブル!H37:I51,2,FALSE)</f>
        <v>（例）当院は重点医療機関として周産期妊婦の入院受け入れを行ってきたが、この度の第７波の感染拡大により、当院が陽性妊婦の受け入れのため確保している病床数を超える入院受け入れ要請が生じ、近隣の医療機関に受け入れ協力をせざるを得ない状況が生じた。圏域内の一般病床を有する病院及び有床診療所に陽性妊婦の受入協力を打診したが、そもそも医療機関が少ないことも相まり、調整は不調に終わった。今後の感染拡大を前に、遠隔の医療機関への搬送及び容態悪化を避けるためにも自院での受け入れ体制の強化が喫緊の課題となっており、分娩監視装置の追加とともに新生児用のモニタ設備を新たに○台の追加整備を行うこととしたい。（整備台数の検討にあたってのピーク時の陽性患者数の推移及び受け入れ要請を断らざるを得なかったケースの詳細については別紙のとおり。）</v>
      </c>
      <c r="C14" s="876"/>
      <c r="D14" s="876"/>
      <c r="E14" s="876"/>
      <c r="F14" s="876"/>
      <c r="G14" s="876"/>
      <c r="H14" s="876"/>
      <c r="I14" s="876"/>
      <c r="J14" s="876"/>
      <c r="K14" s="876"/>
      <c r="L14" s="876"/>
      <c r="Y14" s="21"/>
      <c r="Z14" s="23" t="s">
        <v>450</v>
      </c>
      <c r="AA14" s="23" t="s">
        <v>451</v>
      </c>
    </row>
    <row r="15" spans="1:32" ht="120" customHeight="1">
      <c r="B15" s="856"/>
      <c r="C15" s="857"/>
      <c r="D15" s="857"/>
      <c r="E15" s="857"/>
      <c r="F15" s="857"/>
      <c r="G15" s="857"/>
      <c r="H15" s="857"/>
      <c r="I15" s="857"/>
      <c r="J15" s="857"/>
      <c r="K15" s="857"/>
      <c r="L15" s="858"/>
      <c r="Z15" s="105" t="str">
        <f xml:space="preserve">
IF(COUNTA(B15)=0,"○",
IF(COUNTA(B15)=1,"◎"))</f>
        <v>○</v>
      </c>
      <c r="AA15" s="106" t="str">
        <f xml:space="preserve">
IF(COUNTA(B15)=0,"整備しない場合は入力不要です。",
IF(COUNTA(B15)=1,"入力された状態になりました。"))</f>
        <v>整備しない場合は入力不要です。</v>
      </c>
    </row>
    <row r="16" spans="1:32" ht="20.149999999999999" customHeight="1"/>
    <row r="17" spans="1:27" ht="20.149999999999999" customHeight="1">
      <c r="B17" s="19" t="s">
        <v>498</v>
      </c>
      <c r="C17" s="19"/>
      <c r="D17" s="19"/>
      <c r="E17" s="19"/>
      <c r="F17" s="19"/>
      <c r="G17" s="19"/>
      <c r="H17" s="19"/>
      <c r="I17" s="19"/>
      <c r="J17" s="19"/>
      <c r="K17" s="19"/>
      <c r="L17" s="19"/>
    </row>
    <row r="18" spans="1:27" ht="20.149999999999999" customHeight="1">
      <c r="B18" s="854" t="s">
        <v>539</v>
      </c>
      <c r="C18" s="607"/>
      <c r="D18" s="607"/>
      <c r="E18" s="607"/>
      <c r="F18" s="607"/>
      <c r="G18" s="607"/>
      <c r="H18" s="607"/>
      <c r="I18" s="607"/>
      <c r="J18" s="607"/>
      <c r="K18" s="607"/>
      <c r="L18" s="607"/>
    </row>
    <row r="19" spans="1:27" ht="20.149999999999999" customHeight="1">
      <c r="B19" s="854"/>
      <c r="C19" s="607"/>
      <c r="D19" s="607"/>
      <c r="E19" s="607"/>
      <c r="F19" s="607"/>
      <c r="G19" s="607"/>
      <c r="H19" s="607"/>
      <c r="I19" s="607"/>
      <c r="J19" s="607"/>
      <c r="K19" s="607"/>
      <c r="L19" s="607"/>
    </row>
    <row r="20" spans="1:27" ht="20.149999999999999" customHeight="1">
      <c r="B20" s="854"/>
      <c r="C20" s="607"/>
      <c r="D20" s="607"/>
      <c r="E20" s="607"/>
      <c r="F20" s="607"/>
      <c r="G20" s="607"/>
      <c r="H20" s="607"/>
      <c r="I20" s="607"/>
      <c r="J20" s="607"/>
      <c r="K20" s="607"/>
      <c r="L20" s="607"/>
    </row>
    <row r="21" spans="1:27" ht="20.149999999999999" customHeight="1">
      <c r="B21" s="607"/>
      <c r="C21" s="607"/>
      <c r="D21" s="607"/>
      <c r="E21" s="607"/>
      <c r="F21" s="607"/>
      <c r="G21" s="607"/>
      <c r="H21" s="607"/>
      <c r="I21" s="607"/>
      <c r="J21" s="607"/>
      <c r="K21" s="607"/>
      <c r="L21" s="607"/>
    </row>
    <row r="22" spans="1:27" ht="120" customHeight="1">
      <c r="B22" s="856"/>
      <c r="C22" s="857"/>
      <c r="D22" s="857"/>
      <c r="E22" s="857"/>
      <c r="F22" s="857"/>
      <c r="G22" s="857"/>
      <c r="H22" s="857"/>
      <c r="I22" s="857"/>
      <c r="J22" s="857"/>
      <c r="K22" s="857"/>
      <c r="L22" s="858"/>
      <c r="Z22" s="105" t="str">
        <f xml:space="preserve">
IF(COUNTA(B22)=0,"○",
IF(COUNTA(B22)=1,"◎"))</f>
        <v>○</v>
      </c>
      <c r="AA22" s="106" t="str">
        <f xml:space="preserve">
IF(COUNTA(B22)=0,"整備しない場合は入力不要です。",
IF(COUNTA(B22)=1,"入力された状態になりました。"))</f>
        <v>整備しない場合は入力不要です。</v>
      </c>
    </row>
    <row r="23" spans="1:27" ht="20.149999999999999" customHeight="1"/>
    <row r="24" spans="1:27" ht="20.149999999999999" customHeight="1">
      <c r="B24" s="19" t="s">
        <v>497</v>
      </c>
      <c r="C24" s="19"/>
      <c r="D24" s="19"/>
      <c r="E24" s="19"/>
      <c r="F24" s="19"/>
      <c r="G24" s="19"/>
      <c r="H24" s="19"/>
      <c r="I24" s="19"/>
      <c r="J24" s="19"/>
      <c r="K24" s="19"/>
      <c r="L24" s="19"/>
      <c r="Z24" s="24"/>
    </row>
    <row r="25" spans="1:27" ht="10" customHeight="1"/>
    <row r="26" spans="1:27" ht="60" customHeight="1">
      <c r="B26" s="854" t="s">
        <v>654</v>
      </c>
      <c r="C26" s="855"/>
      <c r="D26" s="855"/>
      <c r="E26" s="855"/>
      <c r="F26" s="855"/>
      <c r="G26" s="855"/>
      <c r="H26" s="855"/>
      <c r="I26" s="855"/>
      <c r="J26" s="855"/>
      <c r="K26" s="855"/>
      <c r="L26" s="855"/>
      <c r="Z26" s="105" t="str">
        <f xml:space="preserve">
IF(COUNTIF(Z30:Z74,"○")=45,"○",
IF(COUNTIF(Z30:Z74,"×")&gt;=1,"×",
IF(AND(COUNTIF(Z30:Z74,"◎")&gt;=1,COUNTIF(Z30:Z74,"×")=0),"◎")))</f>
        <v>○</v>
      </c>
      <c r="AA26" s="106" t="str">
        <f xml:space="preserve">
IF(COUNTIF(Z30:Z74,"○")=45,"整備しない場合は入力不要です。",
IF(COUNTIF(Z30:Z74,"×")&gt;=1,"【要修正】入力が不十分な箇所があります。",
IF(AND(COUNTIF(Z30:Z74,"◎")&gt;=1,COUNTIF(Z30:Z74,"×")=0),"適切に入力がされました。")))</f>
        <v>整備しない場合は入力不要です。</v>
      </c>
    </row>
    <row r="27" spans="1:27" ht="10" customHeight="1">
      <c r="Z27" s="844" t="s">
        <v>453</v>
      </c>
      <c r="AA27" s="848" t="s">
        <v>455</v>
      </c>
    </row>
    <row r="28" spans="1:27">
      <c r="B28" s="859" t="s">
        <v>60</v>
      </c>
      <c r="C28" s="860"/>
      <c r="D28" s="861"/>
      <c r="E28" s="859" t="s">
        <v>61</v>
      </c>
      <c r="F28" s="861"/>
      <c r="G28" s="859" t="s">
        <v>62</v>
      </c>
      <c r="H28" s="860"/>
      <c r="I28" s="860"/>
      <c r="J28" s="861"/>
      <c r="K28" s="862" t="s">
        <v>63</v>
      </c>
      <c r="L28" s="862" t="s">
        <v>64</v>
      </c>
      <c r="Z28" s="845"/>
      <c r="AA28" s="849"/>
    </row>
    <row r="29" spans="1:27">
      <c r="B29" s="7" t="s">
        <v>65</v>
      </c>
      <c r="C29" s="7" t="s">
        <v>66</v>
      </c>
      <c r="D29" s="7" t="s">
        <v>67</v>
      </c>
      <c r="E29" s="7" t="s">
        <v>73</v>
      </c>
      <c r="F29" s="7" t="s">
        <v>68</v>
      </c>
      <c r="G29" s="7" t="s">
        <v>69</v>
      </c>
      <c r="H29" s="7" t="s">
        <v>70</v>
      </c>
      <c r="I29" s="7" t="s">
        <v>71</v>
      </c>
      <c r="J29" s="7" t="s">
        <v>72</v>
      </c>
      <c r="K29" s="863"/>
      <c r="L29" s="863"/>
      <c r="Z29" s="105" t="s">
        <v>450</v>
      </c>
      <c r="AA29" s="105" t="s">
        <v>452</v>
      </c>
    </row>
    <row r="30" spans="1:27">
      <c r="A30" s="16">
        <v>1</v>
      </c>
      <c r="B30" s="10"/>
      <c r="C30" s="10"/>
      <c r="D30" s="10"/>
      <c r="E30" s="14"/>
      <c r="F30" s="11"/>
      <c r="G30" s="12"/>
      <c r="H30" s="25">
        <f>ROUNDDOWN(G30*1.1,0)</f>
        <v>0</v>
      </c>
      <c r="I30" s="8">
        <f>F30*H30</f>
        <v>0</v>
      </c>
      <c r="J30" s="13"/>
      <c r="K30" s="8">
        <f>IF(J30="補助対象",I30,IF(J30="補助対象外",0,0))</f>
        <v>0</v>
      </c>
      <c r="L30" s="9" t="str">
        <f>IF(Z30="◎",COUNTIF($Z$30:Z30,"◎"),"")</f>
        <v/>
      </c>
      <c r="W30" s="397" t="str">
        <f>IF(B30="個別病床",はじめに入力してください!$K$13,IF(B30="共通使用",はじめに入力してください!$K$12,""))</f>
        <v/>
      </c>
      <c r="Y30" s="16">
        <v>1</v>
      </c>
      <c r="Z30" s="105" t="str">
        <f xml:space="preserve">
IF(SUM(COUNTA(B30:G30),COUNTA(J30))=0,"○",
IF(AND(SUM(COUNTA(B30:G30),COUNTA(J30))&gt;0,SUM(COUNTA(B30:G30),COUNTA(J30))&lt;7),"×",
IF(SUM(COUNTA(B30:G30),COUNTA(J30))=7,"◎")))</f>
        <v>○</v>
      </c>
      <c r="AA30" s="106" t="str">
        <f xml:space="preserve">
IF(SUM(COUNTA(B30:G30),COUNTA(J30))=0,"整備しない場合は入力不要です。",
IF(AND(SUM(COUNTA(B30:G30),COUNTA(J30))&gt;0,SUM(COUNTA(B30:G30),COUNTA(J30))&lt;7),"【要修正】未入力の箇所があります。",
IF(SUM(COUNTA(B30:G30),COUNTA(J30))=7,"適切に入力がされました。")))</f>
        <v>整備しない場合は入力不要です。</v>
      </c>
    </row>
    <row r="31" spans="1:27">
      <c r="A31" s="16">
        <v>2</v>
      </c>
      <c r="B31" s="10"/>
      <c r="C31" s="10"/>
      <c r="D31" s="10"/>
      <c r="E31" s="14"/>
      <c r="F31" s="11"/>
      <c r="G31" s="12"/>
      <c r="H31" s="25">
        <f t="shared" ref="H31:H74" si="0">ROUNDDOWN(G31*1.1,0)</f>
        <v>0</v>
      </c>
      <c r="I31" s="8">
        <f t="shared" ref="I31:I74" si="1">F31*H31</f>
        <v>0</v>
      </c>
      <c r="J31" s="13"/>
      <c r="K31" s="8">
        <f t="shared" ref="K31:K74" si="2">IF(J31="補助対象",I31,IF(J31="補助対象外",0,0))</f>
        <v>0</v>
      </c>
      <c r="L31" s="9" t="str">
        <f>IF(Z31="◎",COUNTIF($Z$30:Z31,"◎"),"")</f>
        <v/>
      </c>
      <c r="W31" s="397" t="str">
        <f>IF(B31="個別病床",はじめに入力してください!$K$13,IF(B31="共通使用",はじめに入力してください!$K$12,""))</f>
        <v/>
      </c>
      <c r="Y31" s="16">
        <v>2</v>
      </c>
      <c r="Z31" s="105" t="str">
        <f t="shared" ref="Z31:Z74" si="3" xml:space="preserve">
IF(SUM(COUNTA(B31:G31),COUNTA(J31))=0,"○",
IF(AND(SUM(COUNTA(B31:G31),COUNTA(J31))&gt;0,SUM(COUNTA(B31:G31),COUNTA(J31))&lt;7),"×",
IF(SUM(COUNTA(B31:G31),COUNTA(J31))=7,"◎")))</f>
        <v>○</v>
      </c>
      <c r="AA31" s="106" t="str">
        <f t="shared" ref="AA31:AA74" si="4" xml:space="preserve">
IF(SUM(COUNTA(B31:G31),COUNTA(J31))=0,"整備しない場合は入力不要です。",
IF(AND(SUM(COUNTA(B31:G31),COUNTA(J31))&gt;0,SUM(COUNTA(B31:G31),COUNTA(J31))&lt;7),"【要修正】未入力の箇所があります。",
IF(SUM(COUNTA(B31:G31),COUNTA(J31))=7,"適切に入力がされました。")))</f>
        <v>整備しない場合は入力不要です。</v>
      </c>
    </row>
    <row r="32" spans="1:27">
      <c r="A32" s="16">
        <v>3</v>
      </c>
      <c r="B32" s="10"/>
      <c r="C32" s="10"/>
      <c r="D32" s="10"/>
      <c r="E32" s="14"/>
      <c r="F32" s="11"/>
      <c r="G32" s="12"/>
      <c r="H32" s="25">
        <f t="shared" si="0"/>
        <v>0</v>
      </c>
      <c r="I32" s="8">
        <f t="shared" si="1"/>
        <v>0</v>
      </c>
      <c r="J32" s="13"/>
      <c r="K32" s="8">
        <f t="shared" si="2"/>
        <v>0</v>
      </c>
      <c r="L32" s="9" t="str">
        <f>IF(Z32="◎",COUNTIF($Z$30:Z32,"◎"),"")</f>
        <v/>
      </c>
      <c r="W32" s="397" t="str">
        <f>IF(B32="個別病床",はじめに入力してください!$K$13,IF(B32="共通使用",はじめに入力してください!$K$12,""))</f>
        <v/>
      </c>
      <c r="Y32" s="16">
        <v>3</v>
      </c>
      <c r="Z32" s="105" t="str">
        <f t="shared" si="3"/>
        <v>○</v>
      </c>
      <c r="AA32" s="106" t="str">
        <f t="shared" si="4"/>
        <v>整備しない場合は入力不要です。</v>
      </c>
    </row>
    <row r="33" spans="1:27">
      <c r="A33" s="16">
        <v>4</v>
      </c>
      <c r="B33" s="10"/>
      <c r="C33" s="10"/>
      <c r="D33" s="10"/>
      <c r="E33" s="14"/>
      <c r="F33" s="11"/>
      <c r="G33" s="12"/>
      <c r="H33" s="25">
        <f t="shared" si="0"/>
        <v>0</v>
      </c>
      <c r="I33" s="8">
        <f t="shared" si="1"/>
        <v>0</v>
      </c>
      <c r="J33" s="13"/>
      <c r="K33" s="8">
        <f t="shared" si="2"/>
        <v>0</v>
      </c>
      <c r="L33" s="9" t="str">
        <f>IF(Z33="◎",COUNTIF($Z$30:Z33,"◎"),"")</f>
        <v/>
      </c>
      <c r="W33" s="397" t="str">
        <f>IF(B33="個別病床",はじめに入力してください!$K$13,IF(B33="共通使用",はじめに入力してください!$K$12,""))</f>
        <v/>
      </c>
      <c r="Y33" s="16">
        <v>4</v>
      </c>
      <c r="Z33" s="105" t="str">
        <f t="shared" si="3"/>
        <v>○</v>
      </c>
      <c r="AA33" s="106" t="str">
        <f t="shared" si="4"/>
        <v>整備しない場合は入力不要です。</v>
      </c>
    </row>
    <row r="34" spans="1:27">
      <c r="A34" s="16">
        <v>5</v>
      </c>
      <c r="B34" s="10"/>
      <c r="C34" s="10"/>
      <c r="D34" s="10"/>
      <c r="E34" s="14"/>
      <c r="F34" s="11"/>
      <c r="G34" s="12"/>
      <c r="H34" s="25">
        <f t="shared" si="0"/>
        <v>0</v>
      </c>
      <c r="I34" s="8">
        <f t="shared" si="1"/>
        <v>0</v>
      </c>
      <c r="J34" s="13"/>
      <c r="K34" s="8">
        <f t="shared" si="2"/>
        <v>0</v>
      </c>
      <c r="L34" s="9" t="str">
        <f>IF(Z34="◎",COUNTIF($Z$30:Z34,"◎"),"")</f>
        <v/>
      </c>
      <c r="W34" s="397" t="str">
        <f>IF(B34="個別病床",はじめに入力してください!$K$13,IF(B34="共通使用",はじめに入力してください!$K$12,""))</f>
        <v/>
      </c>
      <c r="Y34" s="16">
        <v>5</v>
      </c>
      <c r="Z34" s="105" t="str">
        <f t="shared" si="3"/>
        <v>○</v>
      </c>
      <c r="AA34" s="106" t="str">
        <f t="shared" si="4"/>
        <v>整備しない場合は入力不要です。</v>
      </c>
    </row>
    <row r="35" spans="1:27">
      <c r="A35" s="16">
        <v>6</v>
      </c>
      <c r="B35" s="10"/>
      <c r="C35" s="10"/>
      <c r="D35" s="10"/>
      <c r="E35" s="14"/>
      <c r="F35" s="11"/>
      <c r="G35" s="12"/>
      <c r="H35" s="25">
        <f t="shared" si="0"/>
        <v>0</v>
      </c>
      <c r="I35" s="8">
        <f t="shared" si="1"/>
        <v>0</v>
      </c>
      <c r="J35" s="13"/>
      <c r="K35" s="8">
        <f t="shared" si="2"/>
        <v>0</v>
      </c>
      <c r="L35" s="9" t="str">
        <f>IF(Z35="◎",COUNTIF($Z$30:Z35,"◎"),"")</f>
        <v/>
      </c>
      <c r="W35" s="397" t="str">
        <f>IF(B35="個別病床",はじめに入力してください!$K$13,IF(B35="共通使用",はじめに入力してください!$K$12,""))</f>
        <v/>
      </c>
      <c r="Y35" s="16">
        <v>6</v>
      </c>
      <c r="Z35" s="105" t="str">
        <f t="shared" si="3"/>
        <v>○</v>
      </c>
      <c r="AA35" s="106" t="str">
        <f t="shared" si="4"/>
        <v>整備しない場合は入力不要です。</v>
      </c>
    </row>
    <row r="36" spans="1:27">
      <c r="A36" s="16">
        <v>7</v>
      </c>
      <c r="B36" s="10"/>
      <c r="C36" s="10"/>
      <c r="D36" s="10"/>
      <c r="E36" s="14"/>
      <c r="F36" s="11"/>
      <c r="G36" s="12"/>
      <c r="H36" s="25">
        <f t="shared" si="0"/>
        <v>0</v>
      </c>
      <c r="I36" s="8">
        <f t="shared" si="1"/>
        <v>0</v>
      </c>
      <c r="J36" s="13"/>
      <c r="K36" s="8">
        <f t="shared" si="2"/>
        <v>0</v>
      </c>
      <c r="L36" s="9" t="str">
        <f>IF(Z36="◎",COUNTIF($Z$30:Z36,"◎"),"")</f>
        <v/>
      </c>
      <c r="W36" s="397" t="str">
        <f>IF(B36="個別病床",はじめに入力してください!$K$13,IF(B36="共通使用",はじめに入力してください!$K$12,""))</f>
        <v/>
      </c>
      <c r="Y36" s="16">
        <v>7</v>
      </c>
      <c r="Z36" s="105" t="str">
        <f t="shared" si="3"/>
        <v>○</v>
      </c>
      <c r="AA36" s="106" t="str">
        <f t="shared" si="4"/>
        <v>整備しない場合は入力不要です。</v>
      </c>
    </row>
    <row r="37" spans="1:27">
      <c r="A37" s="16">
        <v>8</v>
      </c>
      <c r="B37" s="10"/>
      <c r="C37" s="10"/>
      <c r="D37" s="10"/>
      <c r="E37" s="14"/>
      <c r="F37" s="11"/>
      <c r="G37" s="12"/>
      <c r="H37" s="25">
        <f t="shared" si="0"/>
        <v>0</v>
      </c>
      <c r="I37" s="8">
        <f t="shared" si="1"/>
        <v>0</v>
      </c>
      <c r="J37" s="13"/>
      <c r="K37" s="8">
        <f t="shared" si="2"/>
        <v>0</v>
      </c>
      <c r="L37" s="9" t="str">
        <f>IF(Z37="◎",COUNTIF($Z$30:Z37,"◎"),"")</f>
        <v/>
      </c>
      <c r="W37" s="397" t="str">
        <f>IF(B37="個別病床",はじめに入力してください!$K$13,IF(B37="共通使用",はじめに入力してください!$K$12,""))</f>
        <v/>
      </c>
      <c r="Y37" s="16">
        <v>8</v>
      </c>
      <c r="Z37" s="105" t="str">
        <f t="shared" si="3"/>
        <v>○</v>
      </c>
      <c r="AA37" s="106" t="str">
        <f t="shared" si="4"/>
        <v>整備しない場合は入力不要です。</v>
      </c>
    </row>
    <row r="38" spans="1:27">
      <c r="A38" s="16">
        <v>9</v>
      </c>
      <c r="B38" s="10"/>
      <c r="C38" s="10"/>
      <c r="D38" s="10"/>
      <c r="E38" s="14"/>
      <c r="F38" s="11"/>
      <c r="G38" s="12"/>
      <c r="H38" s="25">
        <f t="shared" si="0"/>
        <v>0</v>
      </c>
      <c r="I38" s="8">
        <f t="shared" si="1"/>
        <v>0</v>
      </c>
      <c r="J38" s="13"/>
      <c r="K38" s="8">
        <f t="shared" si="2"/>
        <v>0</v>
      </c>
      <c r="L38" s="9" t="str">
        <f>IF(Z38="◎",COUNTIF($Z$30:Z38,"◎"),"")</f>
        <v/>
      </c>
      <c r="W38" s="397" t="str">
        <f>IF(B38="個別病床",はじめに入力してください!$K$13,IF(B38="共通使用",はじめに入力してください!$K$12,""))</f>
        <v/>
      </c>
      <c r="Y38" s="16">
        <v>9</v>
      </c>
      <c r="Z38" s="105" t="str">
        <f t="shared" si="3"/>
        <v>○</v>
      </c>
      <c r="AA38" s="106" t="str">
        <f t="shared" si="4"/>
        <v>整備しない場合は入力不要です。</v>
      </c>
    </row>
    <row r="39" spans="1:27">
      <c r="A39" s="16">
        <v>10</v>
      </c>
      <c r="B39" s="10"/>
      <c r="C39" s="10"/>
      <c r="D39" s="10"/>
      <c r="E39" s="14"/>
      <c r="F39" s="11"/>
      <c r="G39" s="12"/>
      <c r="H39" s="25">
        <f t="shared" si="0"/>
        <v>0</v>
      </c>
      <c r="I39" s="8">
        <f t="shared" si="1"/>
        <v>0</v>
      </c>
      <c r="J39" s="13"/>
      <c r="K39" s="8">
        <f t="shared" si="2"/>
        <v>0</v>
      </c>
      <c r="L39" s="9" t="str">
        <f>IF(Z39="◎",COUNTIF($Z$30:Z39,"◎"),"")</f>
        <v/>
      </c>
      <c r="W39" s="397" t="str">
        <f>IF(B39="個別病床",はじめに入力してください!$K$13,IF(B39="共通使用",はじめに入力してください!$K$12,""))</f>
        <v/>
      </c>
      <c r="Y39" s="16">
        <v>10</v>
      </c>
      <c r="Z39" s="105" t="str">
        <f t="shared" si="3"/>
        <v>○</v>
      </c>
      <c r="AA39" s="106" t="str">
        <f t="shared" si="4"/>
        <v>整備しない場合は入力不要です。</v>
      </c>
    </row>
    <row r="40" spans="1:27">
      <c r="A40" s="16">
        <v>11</v>
      </c>
      <c r="B40" s="10"/>
      <c r="C40" s="10"/>
      <c r="D40" s="10"/>
      <c r="E40" s="14"/>
      <c r="F40" s="11"/>
      <c r="G40" s="12"/>
      <c r="H40" s="25">
        <f t="shared" si="0"/>
        <v>0</v>
      </c>
      <c r="I40" s="8">
        <f t="shared" si="1"/>
        <v>0</v>
      </c>
      <c r="J40" s="13"/>
      <c r="K40" s="8">
        <f t="shared" si="2"/>
        <v>0</v>
      </c>
      <c r="L40" s="9" t="str">
        <f>IF(Z40="◎",COUNTIF($Z$30:Z40,"◎"),"")</f>
        <v/>
      </c>
      <c r="W40" s="397" t="str">
        <f>IF(B40="個別病床",はじめに入力してください!$K$13,IF(B40="共通使用",はじめに入力してください!$K$12,""))</f>
        <v/>
      </c>
      <c r="Y40" s="16">
        <v>11</v>
      </c>
      <c r="Z40" s="105" t="str">
        <f t="shared" si="3"/>
        <v>○</v>
      </c>
      <c r="AA40" s="106" t="str">
        <f t="shared" si="4"/>
        <v>整備しない場合は入力不要です。</v>
      </c>
    </row>
    <row r="41" spans="1:27">
      <c r="A41" s="16">
        <v>12</v>
      </c>
      <c r="B41" s="10"/>
      <c r="C41" s="10"/>
      <c r="D41" s="10"/>
      <c r="E41" s="14"/>
      <c r="F41" s="11"/>
      <c r="G41" s="12"/>
      <c r="H41" s="25">
        <f t="shared" si="0"/>
        <v>0</v>
      </c>
      <c r="I41" s="8">
        <f t="shared" si="1"/>
        <v>0</v>
      </c>
      <c r="J41" s="13"/>
      <c r="K41" s="8">
        <f t="shared" si="2"/>
        <v>0</v>
      </c>
      <c r="L41" s="9" t="str">
        <f>IF(Z41="◎",COUNTIF($Z$30:Z41,"◎"),"")</f>
        <v/>
      </c>
      <c r="W41" s="397" t="str">
        <f>IF(B41="個別病床",はじめに入力してください!$K$13,IF(B41="共通使用",はじめに入力してください!$K$12,""))</f>
        <v/>
      </c>
      <c r="Y41" s="16">
        <v>12</v>
      </c>
      <c r="Z41" s="105" t="str">
        <f t="shared" si="3"/>
        <v>○</v>
      </c>
      <c r="AA41" s="106" t="str">
        <f t="shared" si="4"/>
        <v>整備しない場合は入力不要です。</v>
      </c>
    </row>
    <row r="42" spans="1:27">
      <c r="A42" s="16">
        <v>13</v>
      </c>
      <c r="B42" s="10"/>
      <c r="C42" s="10"/>
      <c r="D42" s="10"/>
      <c r="E42" s="14"/>
      <c r="F42" s="11"/>
      <c r="G42" s="12"/>
      <c r="H42" s="25">
        <f t="shared" si="0"/>
        <v>0</v>
      </c>
      <c r="I42" s="8">
        <f t="shared" si="1"/>
        <v>0</v>
      </c>
      <c r="J42" s="13"/>
      <c r="K42" s="8">
        <f t="shared" si="2"/>
        <v>0</v>
      </c>
      <c r="L42" s="9" t="str">
        <f>IF(Z42="◎",COUNTIF($Z$30:Z42,"◎"),"")</f>
        <v/>
      </c>
      <c r="W42" s="397" t="str">
        <f>IF(B42="個別病床",はじめに入力してください!$K$13,IF(B42="共通使用",はじめに入力してください!$K$12,""))</f>
        <v/>
      </c>
      <c r="Y42" s="16">
        <v>13</v>
      </c>
      <c r="Z42" s="105" t="str">
        <f t="shared" si="3"/>
        <v>○</v>
      </c>
      <c r="AA42" s="106" t="str">
        <f t="shared" si="4"/>
        <v>整備しない場合は入力不要です。</v>
      </c>
    </row>
    <row r="43" spans="1:27">
      <c r="A43" s="16">
        <v>14</v>
      </c>
      <c r="B43" s="10"/>
      <c r="C43" s="10"/>
      <c r="D43" s="10"/>
      <c r="E43" s="14"/>
      <c r="F43" s="11"/>
      <c r="G43" s="12"/>
      <c r="H43" s="25">
        <f t="shared" si="0"/>
        <v>0</v>
      </c>
      <c r="I43" s="8">
        <f t="shared" si="1"/>
        <v>0</v>
      </c>
      <c r="J43" s="13"/>
      <c r="K43" s="8">
        <f t="shared" si="2"/>
        <v>0</v>
      </c>
      <c r="L43" s="9" t="str">
        <f>IF(Z43="◎",COUNTIF($Z$30:Z43,"◎"),"")</f>
        <v/>
      </c>
      <c r="W43" s="397" t="str">
        <f>IF(B43="個別病床",はじめに入力してください!$K$13,IF(B43="共通使用",はじめに入力してください!$K$12,""))</f>
        <v/>
      </c>
      <c r="Y43" s="16">
        <v>14</v>
      </c>
      <c r="Z43" s="105" t="str">
        <f t="shared" si="3"/>
        <v>○</v>
      </c>
      <c r="AA43" s="106" t="str">
        <f t="shared" si="4"/>
        <v>整備しない場合は入力不要です。</v>
      </c>
    </row>
    <row r="44" spans="1:27">
      <c r="A44" s="16">
        <v>15</v>
      </c>
      <c r="B44" s="10"/>
      <c r="C44" s="10"/>
      <c r="D44" s="10"/>
      <c r="E44" s="14"/>
      <c r="F44" s="11"/>
      <c r="G44" s="12"/>
      <c r="H44" s="25">
        <f t="shared" si="0"/>
        <v>0</v>
      </c>
      <c r="I44" s="8">
        <f t="shared" si="1"/>
        <v>0</v>
      </c>
      <c r="J44" s="13"/>
      <c r="K44" s="8">
        <f t="shared" si="2"/>
        <v>0</v>
      </c>
      <c r="L44" s="9" t="str">
        <f>IF(Z44="◎",COUNTIF($Z$30:Z44,"◎"),"")</f>
        <v/>
      </c>
      <c r="W44" s="397" t="str">
        <f>IF(B44="個別病床",はじめに入力してください!$K$13,IF(B44="共通使用",はじめに入力してください!$K$12,""))</f>
        <v/>
      </c>
      <c r="Y44" s="16">
        <v>15</v>
      </c>
      <c r="Z44" s="105" t="str">
        <f t="shared" si="3"/>
        <v>○</v>
      </c>
      <c r="AA44" s="106" t="str">
        <f t="shared" si="4"/>
        <v>整備しない場合は入力不要です。</v>
      </c>
    </row>
    <row r="45" spans="1:27">
      <c r="A45" s="16">
        <v>16</v>
      </c>
      <c r="B45" s="10"/>
      <c r="C45" s="10"/>
      <c r="D45" s="10"/>
      <c r="E45" s="14"/>
      <c r="F45" s="11"/>
      <c r="G45" s="12"/>
      <c r="H45" s="25">
        <f t="shared" si="0"/>
        <v>0</v>
      </c>
      <c r="I45" s="8">
        <f t="shared" si="1"/>
        <v>0</v>
      </c>
      <c r="J45" s="13"/>
      <c r="K45" s="8">
        <f t="shared" si="2"/>
        <v>0</v>
      </c>
      <c r="L45" s="9" t="str">
        <f>IF(Z45="◎",COUNTIF($Z$30:Z45,"◎"),"")</f>
        <v/>
      </c>
      <c r="W45" s="397" t="str">
        <f>IF(B45="個別病床",はじめに入力してください!$K$13,IF(B45="共通使用",はじめに入力してください!$K$12,""))</f>
        <v/>
      </c>
      <c r="Y45" s="16">
        <v>16</v>
      </c>
      <c r="Z45" s="105" t="str">
        <f t="shared" si="3"/>
        <v>○</v>
      </c>
      <c r="AA45" s="106" t="str">
        <f t="shared" si="4"/>
        <v>整備しない場合は入力不要です。</v>
      </c>
    </row>
    <row r="46" spans="1:27">
      <c r="A46" s="16">
        <v>17</v>
      </c>
      <c r="B46" s="10"/>
      <c r="C46" s="10"/>
      <c r="D46" s="10"/>
      <c r="E46" s="14"/>
      <c r="F46" s="11"/>
      <c r="G46" s="12"/>
      <c r="H46" s="25">
        <f t="shared" si="0"/>
        <v>0</v>
      </c>
      <c r="I46" s="8">
        <f t="shared" si="1"/>
        <v>0</v>
      </c>
      <c r="J46" s="13"/>
      <c r="K46" s="8">
        <f t="shared" si="2"/>
        <v>0</v>
      </c>
      <c r="L46" s="9" t="str">
        <f>IF(Z46="◎",COUNTIF($Z$30:Z46,"◎"),"")</f>
        <v/>
      </c>
      <c r="W46" s="397" t="str">
        <f>IF(B46="個別病床",はじめに入力してください!$K$13,IF(B46="共通使用",はじめに入力してください!$K$12,""))</f>
        <v/>
      </c>
      <c r="Y46" s="16">
        <v>17</v>
      </c>
      <c r="Z46" s="105" t="str">
        <f t="shared" si="3"/>
        <v>○</v>
      </c>
      <c r="AA46" s="106" t="str">
        <f t="shared" si="4"/>
        <v>整備しない場合は入力不要です。</v>
      </c>
    </row>
    <row r="47" spans="1:27">
      <c r="A47" s="16">
        <v>18</v>
      </c>
      <c r="B47" s="10"/>
      <c r="C47" s="10"/>
      <c r="D47" s="10"/>
      <c r="E47" s="14"/>
      <c r="F47" s="11"/>
      <c r="G47" s="12"/>
      <c r="H47" s="25">
        <f t="shared" si="0"/>
        <v>0</v>
      </c>
      <c r="I47" s="8">
        <f t="shared" si="1"/>
        <v>0</v>
      </c>
      <c r="J47" s="13"/>
      <c r="K47" s="8">
        <f t="shared" si="2"/>
        <v>0</v>
      </c>
      <c r="L47" s="9" t="str">
        <f>IF(Z47="◎",COUNTIF($Z$30:Z47,"◎"),"")</f>
        <v/>
      </c>
      <c r="W47" s="397" t="str">
        <f>IF(B47="個別病床",はじめに入力してください!$K$13,IF(B47="共通使用",はじめに入力してください!$K$12,""))</f>
        <v/>
      </c>
      <c r="Y47" s="16">
        <v>18</v>
      </c>
      <c r="Z47" s="105" t="str">
        <f t="shared" si="3"/>
        <v>○</v>
      </c>
      <c r="AA47" s="106" t="str">
        <f t="shared" si="4"/>
        <v>整備しない場合は入力不要です。</v>
      </c>
    </row>
    <row r="48" spans="1:27">
      <c r="A48" s="16">
        <v>19</v>
      </c>
      <c r="B48" s="10"/>
      <c r="C48" s="10"/>
      <c r="D48" s="10"/>
      <c r="E48" s="14"/>
      <c r="F48" s="11"/>
      <c r="G48" s="12"/>
      <c r="H48" s="25">
        <f t="shared" si="0"/>
        <v>0</v>
      </c>
      <c r="I48" s="8">
        <f t="shared" si="1"/>
        <v>0</v>
      </c>
      <c r="J48" s="13"/>
      <c r="K48" s="8">
        <f t="shared" si="2"/>
        <v>0</v>
      </c>
      <c r="L48" s="9" t="str">
        <f>IF(Z48="◎",COUNTIF($Z$30:Z48,"◎"),"")</f>
        <v/>
      </c>
      <c r="W48" s="397" t="str">
        <f>IF(B48="個別病床",はじめに入力してください!$K$13,IF(B48="共通使用",はじめに入力してください!$K$12,""))</f>
        <v/>
      </c>
      <c r="Y48" s="16">
        <v>19</v>
      </c>
      <c r="Z48" s="105" t="str">
        <f t="shared" si="3"/>
        <v>○</v>
      </c>
      <c r="AA48" s="106" t="str">
        <f t="shared" si="4"/>
        <v>整備しない場合は入力不要です。</v>
      </c>
    </row>
    <row r="49" spans="1:27">
      <c r="A49" s="16">
        <v>20</v>
      </c>
      <c r="B49" s="10"/>
      <c r="C49" s="10"/>
      <c r="D49" s="10"/>
      <c r="E49" s="14"/>
      <c r="F49" s="11"/>
      <c r="G49" s="12"/>
      <c r="H49" s="25">
        <f t="shared" si="0"/>
        <v>0</v>
      </c>
      <c r="I49" s="8">
        <f t="shared" si="1"/>
        <v>0</v>
      </c>
      <c r="J49" s="13"/>
      <c r="K49" s="8">
        <f t="shared" si="2"/>
        <v>0</v>
      </c>
      <c r="L49" s="9" t="str">
        <f>IF(Z49="◎",COUNTIF($Z$30:Z49,"◎"),"")</f>
        <v/>
      </c>
      <c r="W49" s="397" t="str">
        <f>IF(B49="個別病床",はじめに入力してください!$K$13,IF(B49="共通使用",はじめに入力してください!$K$12,""))</f>
        <v/>
      </c>
      <c r="Y49" s="16">
        <v>20</v>
      </c>
      <c r="Z49" s="105" t="str">
        <f t="shared" si="3"/>
        <v>○</v>
      </c>
      <c r="AA49" s="106" t="str">
        <f t="shared" si="4"/>
        <v>整備しない場合は入力不要です。</v>
      </c>
    </row>
    <row r="50" spans="1:27">
      <c r="A50" s="16">
        <v>21</v>
      </c>
      <c r="B50" s="10"/>
      <c r="C50" s="10"/>
      <c r="D50" s="10"/>
      <c r="E50" s="14"/>
      <c r="F50" s="11"/>
      <c r="G50" s="12"/>
      <c r="H50" s="25">
        <f t="shared" si="0"/>
        <v>0</v>
      </c>
      <c r="I50" s="8">
        <f t="shared" si="1"/>
        <v>0</v>
      </c>
      <c r="J50" s="13"/>
      <c r="K50" s="8">
        <f t="shared" si="2"/>
        <v>0</v>
      </c>
      <c r="L50" s="9" t="str">
        <f>IF(Z50="◎",COUNTIF($Z$30:Z50,"◎"),"")</f>
        <v/>
      </c>
      <c r="W50" s="397" t="str">
        <f>IF(B50="個別病床",はじめに入力してください!$K$13,IF(B50="共通使用",はじめに入力してください!$K$12,""))</f>
        <v/>
      </c>
      <c r="Y50" s="16">
        <v>21</v>
      </c>
      <c r="Z50" s="105" t="str">
        <f t="shared" si="3"/>
        <v>○</v>
      </c>
      <c r="AA50" s="106" t="str">
        <f t="shared" si="4"/>
        <v>整備しない場合は入力不要です。</v>
      </c>
    </row>
    <row r="51" spans="1:27">
      <c r="A51" s="16">
        <v>22</v>
      </c>
      <c r="B51" s="10"/>
      <c r="C51" s="10"/>
      <c r="D51" s="10"/>
      <c r="E51" s="14"/>
      <c r="F51" s="11"/>
      <c r="G51" s="12"/>
      <c r="H51" s="25">
        <f t="shared" si="0"/>
        <v>0</v>
      </c>
      <c r="I51" s="8">
        <f t="shared" si="1"/>
        <v>0</v>
      </c>
      <c r="J51" s="13"/>
      <c r="K51" s="8">
        <f t="shared" si="2"/>
        <v>0</v>
      </c>
      <c r="L51" s="9" t="str">
        <f>IF(Z51="◎",COUNTIF($Z$30:Z51,"◎"),"")</f>
        <v/>
      </c>
      <c r="W51" s="397" t="str">
        <f>IF(B51="個別病床",はじめに入力してください!$K$13,IF(B51="共通使用",はじめに入力してください!$K$12,""))</f>
        <v/>
      </c>
      <c r="Y51" s="16">
        <v>22</v>
      </c>
      <c r="Z51" s="105" t="str">
        <f t="shared" si="3"/>
        <v>○</v>
      </c>
      <c r="AA51" s="106" t="str">
        <f t="shared" si="4"/>
        <v>整備しない場合は入力不要です。</v>
      </c>
    </row>
    <row r="52" spans="1:27">
      <c r="A52" s="16">
        <v>23</v>
      </c>
      <c r="B52" s="10"/>
      <c r="C52" s="10"/>
      <c r="D52" s="10"/>
      <c r="E52" s="14"/>
      <c r="F52" s="11"/>
      <c r="G52" s="12"/>
      <c r="H52" s="25">
        <f t="shared" si="0"/>
        <v>0</v>
      </c>
      <c r="I52" s="8">
        <f t="shared" si="1"/>
        <v>0</v>
      </c>
      <c r="J52" s="13"/>
      <c r="K52" s="8">
        <f t="shared" si="2"/>
        <v>0</v>
      </c>
      <c r="L52" s="9" t="str">
        <f>IF(Z52="◎",COUNTIF($Z$30:Z52,"◎"),"")</f>
        <v/>
      </c>
      <c r="W52" s="397" t="str">
        <f>IF(B52="個別病床",はじめに入力してください!$K$13,IF(B52="共通使用",はじめに入力してください!$K$12,""))</f>
        <v/>
      </c>
      <c r="Y52" s="16">
        <v>23</v>
      </c>
      <c r="Z52" s="105" t="str">
        <f t="shared" si="3"/>
        <v>○</v>
      </c>
      <c r="AA52" s="106" t="str">
        <f t="shared" si="4"/>
        <v>整備しない場合は入力不要です。</v>
      </c>
    </row>
    <row r="53" spans="1:27">
      <c r="A53" s="16">
        <v>24</v>
      </c>
      <c r="B53" s="10"/>
      <c r="C53" s="10"/>
      <c r="D53" s="10"/>
      <c r="E53" s="14"/>
      <c r="F53" s="11"/>
      <c r="G53" s="12"/>
      <c r="H53" s="25">
        <f t="shared" si="0"/>
        <v>0</v>
      </c>
      <c r="I53" s="8">
        <f t="shared" si="1"/>
        <v>0</v>
      </c>
      <c r="J53" s="13"/>
      <c r="K53" s="8">
        <f t="shared" si="2"/>
        <v>0</v>
      </c>
      <c r="L53" s="9" t="str">
        <f>IF(Z53="◎",COUNTIF($Z$30:Z53,"◎"),"")</f>
        <v/>
      </c>
      <c r="W53" s="397" t="str">
        <f>IF(B53="個別病床",はじめに入力してください!$K$13,IF(B53="共通使用",はじめに入力してください!$K$12,""))</f>
        <v/>
      </c>
      <c r="Y53" s="16">
        <v>24</v>
      </c>
      <c r="Z53" s="105" t="str">
        <f t="shared" si="3"/>
        <v>○</v>
      </c>
      <c r="AA53" s="106" t="str">
        <f t="shared" si="4"/>
        <v>整備しない場合は入力不要です。</v>
      </c>
    </row>
    <row r="54" spans="1:27">
      <c r="A54" s="16">
        <v>25</v>
      </c>
      <c r="B54" s="10"/>
      <c r="C54" s="10"/>
      <c r="D54" s="10"/>
      <c r="E54" s="14"/>
      <c r="F54" s="11"/>
      <c r="G54" s="12"/>
      <c r="H54" s="25">
        <f t="shared" si="0"/>
        <v>0</v>
      </c>
      <c r="I54" s="8">
        <f t="shared" si="1"/>
        <v>0</v>
      </c>
      <c r="J54" s="13"/>
      <c r="K54" s="8">
        <f t="shared" si="2"/>
        <v>0</v>
      </c>
      <c r="L54" s="9" t="str">
        <f>IF(Z54="◎",COUNTIF($Z$30:Z54,"◎"),"")</f>
        <v/>
      </c>
      <c r="W54" s="397" t="str">
        <f>IF(B54="個別病床",はじめに入力してください!$K$13,IF(B54="共通使用",はじめに入力してください!$K$12,""))</f>
        <v/>
      </c>
      <c r="Y54" s="16">
        <v>25</v>
      </c>
      <c r="Z54" s="105" t="str">
        <f t="shared" si="3"/>
        <v>○</v>
      </c>
      <c r="AA54" s="106" t="str">
        <f t="shared" si="4"/>
        <v>整備しない場合は入力不要です。</v>
      </c>
    </row>
    <row r="55" spans="1:27">
      <c r="A55" s="16">
        <v>26</v>
      </c>
      <c r="B55" s="10"/>
      <c r="C55" s="10"/>
      <c r="D55" s="10"/>
      <c r="E55" s="14"/>
      <c r="F55" s="11"/>
      <c r="G55" s="12"/>
      <c r="H55" s="25">
        <f t="shared" si="0"/>
        <v>0</v>
      </c>
      <c r="I55" s="8">
        <f t="shared" si="1"/>
        <v>0</v>
      </c>
      <c r="J55" s="13"/>
      <c r="K55" s="8">
        <f t="shared" si="2"/>
        <v>0</v>
      </c>
      <c r="L55" s="9" t="str">
        <f>IF(Z55="◎",COUNTIF($Z$30:Z55,"◎"),"")</f>
        <v/>
      </c>
      <c r="W55" s="397" t="str">
        <f>IF(B55="個別病床",はじめに入力してください!$K$13,IF(B55="共通使用",はじめに入力してください!$K$12,""))</f>
        <v/>
      </c>
      <c r="Y55" s="16">
        <v>26</v>
      </c>
      <c r="Z55" s="105" t="str">
        <f t="shared" si="3"/>
        <v>○</v>
      </c>
      <c r="AA55" s="106" t="str">
        <f t="shared" si="4"/>
        <v>整備しない場合は入力不要です。</v>
      </c>
    </row>
    <row r="56" spans="1:27">
      <c r="A56" s="16">
        <v>27</v>
      </c>
      <c r="B56" s="10"/>
      <c r="C56" s="10"/>
      <c r="D56" s="10"/>
      <c r="E56" s="14"/>
      <c r="F56" s="11"/>
      <c r="G56" s="12"/>
      <c r="H56" s="25">
        <f t="shared" si="0"/>
        <v>0</v>
      </c>
      <c r="I56" s="8">
        <f t="shared" si="1"/>
        <v>0</v>
      </c>
      <c r="J56" s="13"/>
      <c r="K56" s="8">
        <f t="shared" si="2"/>
        <v>0</v>
      </c>
      <c r="L56" s="9" t="str">
        <f>IF(Z56="◎",COUNTIF($Z$30:Z56,"◎"),"")</f>
        <v/>
      </c>
      <c r="W56" s="397" t="str">
        <f>IF(B56="個別病床",はじめに入力してください!$K$13,IF(B56="共通使用",はじめに入力してください!$K$12,""))</f>
        <v/>
      </c>
      <c r="Y56" s="16">
        <v>27</v>
      </c>
      <c r="Z56" s="105" t="str">
        <f t="shared" si="3"/>
        <v>○</v>
      </c>
      <c r="AA56" s="106" t="str">
        <f t="shared" si="4"/>
        <v>整備しない場合は入力不要です。</v>
      </c>
    </row>
    <row r="57" spans="1:27">
      <c r="A57" s="16">
        <v>28</v>
      </c>
      <c r="B57" s="10"/>
      <c r="C57" s="10"/>
      <c r="D57" s="10"/>
      <c r="E57" s="14"/>
      <c r="F57" s="11"/>
      <c r="G57" s="12"/>
      <c r="H57" s="25">
        <f t="shared" si="0"/>
        <v>0</v>
      </c>
      <c r="I57" s="8">
        <f t="shared" si="1"/>
        <v>0</v>
      </c>
      <c r="J57" s="13"/>
      <c r="K57" s="8">
        <f t="shared" si="2"/>
        <v>0</v>
      </c>
      <c r="L57" s="9" t="str">
        <f>IF(Z57="◎",COUNTIF($Z$30:Z57,"◎"),"")</f>
        <v/>
      </c>
      <c r="W57" s="397" t="str">
        <f>IF(B57="個別病床",はじめに入力してください!$K$13,IF(B57="共通使用",はじめに入力してください!$K$12,""))</f>
        <v/>
      </c>
      <c r="Y57" s="16">
        <v>28</v>
      </c>
      <c r="Z57" s="105" t="str">
        <f t="shared" si="3"/>
        <v>○</v>
      </c>
      <c r="AA57" s="106" t="str">
        <f t="shared" si="4"/>
        <v>整備しない場合は入力不要です。</v>
      </c>
    </row>
    <row r="58" spans="1:27">
      <c r="A58" s="16">
        <v>29</v>
      </c>
      <c r="B58" s="10"/>
      <c r="C58" s="10"/>
      <c r="D58" s="10"/>
      <c r="E58" s="14"/>
      <c r="F58" s="11"/>
      <c r="G58" s="12"/>
      <c r="H58" s="25">
        <f t="shared" si="0"/>
        <v>0</v>
      </c>
      <c r="I58" s="8">
        <f t="shared" si="1"/>
        <v>0</v>
      </c>
      <c r="J58" s="13"/>
      <c r="K58" s="8">
        <f t="shared" si="2"/>
        <v>0</v>
      </c>
      <c r="L58" s="9" t="str">
        <f>IF(Z58="◎",COUNTIF($Z$30:Z58,"◎"),"")</f>
        <v/>
      </c>
      <c r="W58" s="397" t="str">
        <f>IF(B58="個別病床",はじめに入力してください!$K$13,IF(B58="共通使用",はじめに入力してください!$K$12,""))</f>
        <v/>
      </c>
      <c r="Y58" s="16">
        <v>29</v>
      </c>
      <c r="Z58" s="105" t="str">
        <f t="shared" si="3"/>
        <v>○</v>
      </c>
      <c r="AA58" s="106" t="str">
        <f t="shared" si="4"/>
        <v>整備しない場合は入力不要です。</v>
      </c>
    </row>
    <row r="59" spans="1:27">
      <c r="A59" s="16">
        <v>30</v>
      </c>
      <c r="B59" s="10"/>
      <c r="C59" s="10"/>
      <c r="D59" s="10"/>
      <c r="E59" s="14"/>
      <c r="F59" s="11"/>
      <c r="G59" s="12"/>
      <c r="H59" s="25">
        <f t="shared" si="0"/>
        <v>0</v>
      </c>
      <c r="I59" s="8">
        <f t="shared" si="1"/>
        <v>0</v>
      </c>
      <c r="J59" s="13"/>
      <c r="K59" s="8">
        <f t="shared" si="2"/>
        <v>0</v>
      </c>
      <c r="L59" s="9" t="str">
        <f>IF(Z59="◎",COUNTIF($Z$30:Z59,"◎"),"")</f>
        <v/>
      </c>
      <c r="W59" s="397" t="str">
        <f>IF(B59="個別病床",はじめに入力してください!$K$13,IF(B59="共通使用",はじめに入力してください!$K$12,""))</f>
        <v/>
      </c>
      <c r="Y59" s="16">
        <v>30</v>
      </c>
      <c r="Z59" s="105" t="str">
        <f t="shared" si="3"/>
        <v>○</v>
      </c>
      <c r="AA59" s="106" t="str">
        <f t="shared" si="4"/>
        <v>整備しない場合は入力不要です。</v>
      </c>
    </row>
    <row r="60" spans="1:27">
      <c r="A60" s="16">
        <v>31</v>
      </c>
      <c r="B60" s="10"/>
      <c r="C60" s="10"/>
      <c r="D60" s="10"/>
      <c r="E60" s="14"/>
      <c r="F60" s="11"/>
      <c r="G60" s="12"/>
      <c r="H60" s="25">
        <f t="shared" si="0"/>
        <v>0</v>
      </c>
      <c r="I60" s="8">
        <f t="shared" si="1"/>
        <v>0</v>
      </c>
      <c r="J60" s="13"/>
      <c r="K60" s="8">
        <f t="shared" si="2"/>
        <v>0</v>
      </c>
      <c r="L60" s="9" t="str">
        <f>IF(Z60="◎",COUNTIF($Z$30:Z60,"◎"),"")</f>
        <v/>
      </c>
      <c r="W60" s="397" t="str">
        <f>IF(B60="個別病床",はじめに入力してください!$K$13,IF(B60="共通使用",はじめに入力してください!$K$12,""))</f>
        <v/>
      </c>
      <c r="Y60" s="16">
        <v>31</v>
      </c>
      <c r="Z60" s="105" t="str">
        <f t="shared" si="3"/>
        <v>○</v>
      </c>
      <c r="AA60" s="106" t="str">
        <f t="shared" si="4"/>
        <v>整備しない場合は入力不要です。</v>
      </c>
    </row>
    <row r="61" spans="1:27">
      <c r="A61" s="16">
        <v>32</v>
      </c>
      <c r="B61" s="10"/>
      <c r="C61" s="10"/>
      <c r="D61" s="10"/>
      <c r="E61" s="14"/>
      <c r="F61" s="11"/>
      <c r="G61" s="12"/>
      <c r="H61" s="25">
        <f t="shared" si="0"/>
        <v>0</v>
      </c>
      <c r="I61" s="8">
        <f t="shared" si="1"/>
        <v>0</v>
      </c>
      <c r="J61" s="13"/>
      <c r="K61" s="8">
        <f t="shared" si="2"/>
        <v>0</v>
      </c>
      <c r="L61" s="9" t="str">
        <f>IF(Z61="◎",COUNTIF($Z$30:Z61,"◎"),"")</f>
        <v/>
      </c>
      <c r="W61" s="397" t="str">
        <f>IF(B61="個別病床",はじめに入力してください!$K$13,IF(B61="共通使用",はじめに入力してください!$K$12,""))</f>
        <v/>
      </c>
      <c r="Y61" s="16">
        <v>32</v>
      </c>
      <c r="Z61" s="105" t="str">
        <f t="shared" si="3"/>
        <v>○</v>
      </c>
      <c r="AA61" s="106" t="str">
        <f t="shared" si="4"/>
        <v>整備しない場合は入力不要です。</v>
      </c>
    </row>
    <row r="62" spans="1:27">
      <c r="A62" s="16">
        <v>33</v>
      </c>
      <c r="B62" s="10"/>
      <c r="C62" s="10"/>
      <c r="D62" s="10"/>
      <c r="E62" s="14"/>
      <c r="F62" s="11"/>
      <c r="G62" s="12"/>
      <c r="H62" s="25">
        <f t="shared" si="0"/>
        <v>0</v>
      </c>
      <c r="I62" s="8">
        <f t="shared" si="1"/>
        <v>0</v>
      </c>
      <c r="J62" s="13"/>
      <c r="K62" s="8">
        <f t="shared" si="2"/>
        <v>0</v>
      </c>
      <c r="L62" s="9" t="str">
        <f>IF(Z62="◎",COUNTIF($Z$30:Z62,"◎"),"")</f>
        <v/>
      </c>
      <c r="W62" s="397" t="str">
        <f>IF(B62="個別病床",はじめに入力してください!$K$13,IF(B62="共通使用",はじめに入力してください!$K$12,""))</f>
        <v/>
      </c>
      <c r="Y62" s="16">
        <v>33</v>
      </c>
      <c r="Z62" s="105" t="str">
        <f t="shared" si="3"/>
        <v>○</v>
      </c>
      <c r="AA62" s="106" t="str">
        <f t="shared" si="4"/>
        <v>整備しない場合は入力不要です。</v>
      </c>
    </row>
    <row r="63" spans="1:27">
      <c r="A63" s="16">
        <v>34</v>
      </c>
      <c r="B63" s="10"/>
      <c r="C63" s="10"/>
      <c r="D63" s="10"/>
      <c r="E63" s="14"/>
      <c r="F63" s="11"/>
      <c r="G63" s="12"/>
      <c r="H63" s="25">
        <f t="shared" si="0"/>
        <v>0</v>
      </c>
      <c r="I63" s="8">
        <f t="shared" si="1"/>
        <v>0</v>
      </c>
      <c r="J63" s="13"/>
      <c r="K63" s="8">
        <f t="shared" si="2"/>
        <v>0</v>
      </c>
      <c r="L63" s="9" t="str">
        <f>IF(Z63="◎",COUNTIF($Z$30:Z63,"◎"),"")</f>
        <v/>
      </c>
      <c r="W63" s="397" t="str">
        <f>IF(B63="個別病床",はじめに入力してください!$K$13,IF(B63="共通使用",はじめに入力してください!$K$12,""))</f>
        <v/>
      </c>
      <c r="Y63" s="16">
        <v>34</v>
      </c>
      <c r="Z63" s="105" t="str">
        <f t="shared" si="3"/>
        <v>○</v>
      </c>
      <c r="AA63" s="106" t="str">
        <f t="shared" si="4"/>
        <v>整備しない場合は入力不要です。</v>
      </c>
    </row>
    <row r="64" spans="1:27">
      <c r="A64" s="16">
        <v>35</v>
      </c>
      <c r="B64" s="10"/>
      <c r="C64" s="10"/>
      <c r="D64" s="10"/>
      <c r="E64" s="14"/>
      <c r="F64" s="11"/>
      <c r="G64" s="12"/>
      <c r="H64" s="25">
        <f t="shared" si="0"/>
        <v>0</v>
      </c>
      <c r="I64" s="8">
        <f t="shared" si="1"/>
        <v>0</v>
      </c>
      <c r="J64" s="13"/>
      <c r="K64" s="8">
        <f t="shared" si="2"/>
        <v>0</v>
      </c>
      <c r="L64" s="9" t="str">
        <f>IF(Z64="◎",COUNTIF($Z$30:Z64,"◎"),"")</f>
        <v/>
      </c>
      <c r="W64" s="397" t="str">
        <f>IF(B64="個別病床",はじめに入力してください!$K$13,IF(B64="共通使用",はじめに入力してください!$K$12,""))</f>
        <v/>
      </c>
      <c r="Y64" s="16">
        <v>35</v>
      </c>
      <c r="Z64" s="105" t="str">
        <f t="shared" si="3"/>
        <v>○</v>
      </c>
      <c r="AA64" s="106" t="str">
        <f t="shared" si="4"/>
        <v>整備しない場合は入力不要です。</v>
      </c>
    </row>
    <row r="65" spans="1:27">
      <c r="A65" s="16">
        <v>36</v>
      </c>
      <c r="B65" s="10"/>
      <c r="C65" s="10"/>
      <c r="D65" s="10"/>
      <c r="E65" s="14"/>
      <c r="F65" s="11"/>
      <c r="G65" s="12"/>
      <c r="H65" s="25">
        <f t="shared" si="0"/>
        <v>0</v>
      </c>
      <c r="I65" s="8">
        <f t="shared" si="1"/>
        <v>0</v>
      </c>
      <c r="J65" s="13"/>
      <c r="K65" s="8">
        <f t="shared" si="2"/>
        <v>0</v>
      </c>
      <c r="L65" s="9" t="str">
        <f>IF(Z65="◎",COUNTIF($Z$30:Z65,"◎"),"")</f>
        <v/>
      </c>
      <c r="W65" s="397" t="str">
        <f>IF(B65="個別病床",はじめに入力してください!$K$13,IF(B65="共通使用",はじめに入力してください!$K$12,""))</f>
        <v/>
      </c>
      <c r="Y65" s="16">
        <v>36</v>
      </c>
      <c r="Z65" s="105" t="str">
        <f t="shared" si="3"/>
        <v>○</v>
      </c>
      <c r="AA65" s="106" t="str">
        <f t="shared" si="4"/>
        <v>整備しない場合は入力不要です。</v>
      </c>
    </row>
    <row r="66" spans="1:27">
      <c r="A66" s="16">
        <v>37</v>
      </c>
      <c r="B66" s="10"/>
      <c r="C66" s="10"/>
      <c r="D66" s="10"/>
      <c r="E66" s="14"/>
      <c r="F66" s="11"/>
      <c r="G66" s="12"/>
      <c r="H66" s="25">
        <f t="shared" si="0"/>
        <v>0</v>
      </c>
      <c r="I66" s="8">
        <f t="shared" si="1"/>
        <v>0</v>
      </c>
      <c r="J66" s="13"/>
      <c r="K66" s="8">
        <f t="shared" si="2"/>
        <v>0</v>
      </c>
      <c r="L66" s="9" t="str">
        <f>IF(Z66="◎",COUNTIF($Z$30:Z66,"◎"),"")</f>
        <v/>
      </c>
      <c r="W66" s="397" t="str">
        <f>IF(B66="個別病床",はじめに入力してください!$K$13,IF(B66="共通使用",はじめに入力してください!$K$12,""))</f>
        <v/>
      </c>
      <c r="Y66" s="16">
        <v>37</v>
      </c>
      <c r="Z66" s="105" t="str">
        <f t="shared" si="3"/>
        <v>○</v>
      </c>
      <c r="AA66" s="106" t="str">
        <f t="shared" si="4"/>
        <v>整備しない場合は入力不要です。</v>
      </c>
    </row>
    <row r="67" spans="1:27">
      <c r="A67" s="16">
        <v>38</v>
      </c>
      <c r="B67" s="10"/>
      <c r="C67" s="10"/>
      <c r="D67" s="10"/>
      <c r="E67" s="14"/>
      <c r="F67" s="11"/>
      <c r="G67" s="12"/>
      <c r="H67" s="25">
        <f t="shared" si="0"/>
        <v>0</v>
      </c>
      <c r="I67" s="8">
        <f t="shared" si="1"/>
        <v>0</v>
      </c>
      <c r="J67" s="13"/>
      <c r="K67" s="8">
        <f t="shared" si="2"/>
        <v>0</v>
      </c>
      <c r="L67" s="9" t="str">
        <f>IF(Z67="◎",COUNTIF($Z$30:Z67,"◎"),"")</f>
        <v/>
      </c>
      <c r="W67" s="397" t="str">
        <f>IF(B67="個別病床",はじめに入力してください!$K$13,IF(B67="共通使用",はじめに入力してください!$K$12,""))</f>
        <v/>
      </c>
      <c r="Y67" s="16">
        <v>38</v>
      </c>
      <c r="Z67" s="105" t="str">
        <f t="shared" si="3"/>
        <v>○</v>
      </c>
      <c r="AA67" s="106" t="str">
        <f t="shared" si="4"/>
        <v>整備しない場合は入力不要です。</v>
      </c>
    </row>
    <row r="68" spans="1:27">
      <c r="A68" s="16">
        <v>39</v>
      </c>
      <c r="B68" s="10"/>
      <c r="C68" s="10"/>
      <c r="D68" s="10"/>
      <c r="E68" s="14"/>
      <c r="F68" s="11"/>
      <c r="G68" s="12"/>
      <c r="H68" s="25">
        <f t="shared" si="0"/>
        <v>0</v>
      </c>
      <c r="I68" s="8">
        <f t="shared" si="1"/>
        <v>0</v>
      </c>
      <c r="J68" s="13"/>
      <c r="K68" s="8">
        <f t="shared" si="2"/>
        <v>0</v>
      </c>
      <c r="L68" s="9" t="str">
        <f>IF(Z68="◎",COUNTIF($Z$30:Z68,"◎"),"")</f>
        <v/>
      </c>
      <c r="W68" s="397" t="str">
        <f>IF(B68="個別病床",はじめに入力してください!$K$13,IF(B68="共通使用",はじめに入力してください!$K$12,""))</f>
        <v/>
      </c>
      <c r="Y68" s="16">
        <v>39</v>
      </c>
      <c r="Z68" s="105" t="str">
        <f t="shared" si="3"/>
        <v>○</v>
      </c>
      <c r="AA68" s="106" t="str">
        <f t="shared" si="4"/>
        <v>整備しない場合は入力不要です。</v>
      </c>
    </row>
    <row r="69" spans="1:27">
      <c r="A69" s="16">
        <v>40</v>
      </c>
      <c r="B69" s="10"/>
      <c r="C69" s="10"/>
      <c r="D69" s="10"/>
      <c r="E69" s="14"/>
      <c r="F69" s="11"/>
      <c r="G69" s="12"/>
      <c r="H69" s="25">
        <f t="shared" si="0"/>
        <v>0</v>
      </c>
      <c r="I69" s="8">
        <f t="shared" si="1"/>
        <v>0</v>
      </c>
      <c r="J69" s="13"/>
      <c r="K69" s="8">
        <f t="shared" si="2"/>
        <v>0</v>
      </c>
      <c r="L69" s="9" t="str">
        <f>IF(Z69="◎",COUNTIF($Z$30:Z69,"◎"),"")</f>
        <v/>
      </c>
      <c r="W69" s="397" t="str">
        <f>IF(B69="個別病床",はじめに入力してください!$K$13,IF(B69="共通使用",はじめに入力してください!$K$12,""))</f>
        <v/>
      </c>
      <c r="Y69" s="16">
        <v>40</v>
      </c>
      <c r="Z69" s="105" t="str">
        <f t="shared" si="3"/>
        <v>○</v>
      </c>
      <c r="AA69" s="106" t="str">
        <f t="shared" si="4"/>
        <v>整備しない場合は入力不要です。</v>
      </c>
    </row>
    <row r="70" spans="1:27">
      <c r="A70" s="16">
        <v>41</v>
      </c>
      <c r="B70" s="10"/>
      <c r="C70" s="10"/>
      <c r="D70" s="10"/>
      <c r="E70" s="14"/>
      <c r="F70" s="11"/>
      <c r="G70" s="12"/>
      <c r="H70" s="25">
        <f t="shared" si="0"/>
        <v>0</v>
      </c>
      <c r="I70" s="8">
        <f t="shared" si="1"/>
        <v>0</v>
      </c>
      <c r="J70" s="13"/>
      <c r="K70" s="8">
        <f t="shared" si="2"/>
        <v>0</v>
      </c>
      <c r="L70" s="9" t="str">
        <f>IF(Z70="◎",COUNTIF($Z$30:Z70,"◎"),"")</f>
        <v/>
      </c>
      <c r="W70" s="397" t="str">
        <f>IF(B70="個別病床",はじめに入力してください!$K$13,IF(B70="共通使用",はじめに入力してください!$K$12,""))</f>
        <v/>
      </c>
      <c r="Y70" s="16">
        <v>41</v>
      </c>
      <c r="Z70" s="105" t="str">
        <f t="shared" si="3"/>
        <v>○</v>
      </c>
      <c r="AA70" s="106" t="str">
        <f t="shared" si="4"/>
        <v>整備しない場合は入力不要です。</v>
      </c>
    </row>
    <row r="71" spans="1:27">
      <c r="A71" s="16">
        <v>42</v>
      </c>
      <c r="B71" s="10"/>
      <c r="C71" s="10"/>
      <c r="D71" s="10"/>
      <c r="E71" s="14"/>
      <c r="F71" s="11"/>
      <c r="G71" s="12"/>
      <c r="H71" s="25">
        <f t="shared" si="0"/>
        <v>0</v>
      </c>
      <c r="I71" s="8">
        <f t="shared" si="1"/>
        <v>0</v>
      </c>
      <c r="J71" s="13"/>
      <c r="K71" s="8">
        <f t="shared" si="2"/>
        <v>0</v>
      </c>
      <c r="L71" s="9" t="str">
        <f>IF(Z71="◎",COUNTIF($Z$30:Z71,"◎"),"")</f>
        <v/>
      </c>
      <c r="W71" s="397" t="str">
        <f>IF(B71="個別病床",はじめに入力してください!$K$13,IF(B71="共通使用",はじめに入力してください!$K$12,""))</f>
        <v/>
      </c>
      <c r="Y71" s="16">
        <v>42</v>
      </c>
      <c r="Z71" s="105" t="str">
        <f t="shared" si="3"/>
        <v>○</v>
      </c>
      <c r="AA71" s="106" t="str">
        <f t="shared" si="4"/>
        <v>整備しない場合は入力不要です。</v>
      </c>
    </row>
    <row r="72" spans="1:27">
      <c r="A72" s="16">
        <v>43</v>
      </c>
      <c r="B72" s="10"/>
      <c r="C72" s="10"/>
      <c r="D72" s="10"/>
      <c r="E72" s="14"/>
      <c r="F72" s="11"/>
      <c r="G72" s="12"/>
      <c r="H72" s="25">
        <f t="shared" si="0"/>
        <v>0</v>
      </c>
      <c r="I72" s="8">
        <f t="shared" si="1"/>
        <v>0</v>
      </c>
      <c r="J72" s="13"/>
      <c r="K72" s="8">
        <f t="shared" si="2"/>
        <v>0</v>
      </c>
      <c r="L72" s="9" t="str">
        <f>IF(Z72="◎",COUNTIF($Z$30:Z72,"◎"),"")</f>
        <v/>
      </c>
      <c r="W72" s="397" t="str">
        <f>IF(B72="個別病床",はじめに入力してください!$K$13,IF(B72="共通使用",はじめに入力してください!$K$12,""))</f>
        <v/>
      </c>
      <c r="Y72" s="16">
        <v>43</v>
      </c>
      <c r="Z72" s="105" t="str">
        <f t="shared" si="3"/>
        <v>○</v>
      </c>
      <c r="AA72" s="106" t="str">
        <f t="shared" si="4"/>
        <v>整備しない場合は入力不要です。</v>
      </c>
    </row>
    <row r="73" spans="1:27">
      <c r="A73" s="16">
        <v>44</v>
      </c>
      <c r="B73" s="10"/>
      <c r="C73" s="10"/>
      <c r="D73" s="10"/>
      <c r="E73" s="14"/>
      <c r="F73" s="11"/>
      <c r="G73" s="12"/>
      <c r="H73" s="25">
        <f t="shared" si="0"/>
        <v>0</v>
      </c>
      <c r="I73" s="8">
        <f t="shared" si="1"/>
        <v>0</v>
      </c>
      <c r="J73" s="13"/>
      <c r="K73" s="8">
        <f t="shared" si="2"/>
        <v>0</v>
      </c>
      <c r="L73" s="9" t="str">
        <f>IF(Z73="◎",COUNTIF($Z$30:Z73,"◎"),"")</f>
        <v/>
      </c>
      <c r="W73" s="397" t="str">
        <f>IF(B73="個別病床",はじめに入力してください!$K$13,IF(B73="共通使用",はじめに入力してください!$K$12,""))</f>
        <v/>
      </c>
      <c r="Y73" s="16">
        <v>44</v>
      </c>
      <c r="Z73" s="105" t="str">
        <f t="shared" si="3"/>
        <v>○</v>
      </c>
      <c r="AA73" s="106" t="str">
        <f t="shared" si="4"/>
        <v>整備しない場合は入力不要です。</v>
      </c>
    </row>
    <row r="74" spans="1:27">
      <c r="A74" s="16">
        <v>45</v>
      </c>
      <c r="B74" s="10"/>
      <c r="C74" s="10"/>
      <c r="D74" s="10"/>
      <c r="E74" s="14"/>
      <c r="F74" s="11"/>
      <c r="G74" s="12"/>
      <c r="H74" s="25">
        <f t="shared" si="0"/>
        <v>0</v>
      </c>
      <c r="I74" s="8">
        <f t="shared" si="1"/>
        <v>0</v>
      </c>
      <c r="J74" s="13"/>
      <c r="K74" s="8">
        <f t="shared" si="2"/>
        <v>0</v>
      </c>
      <c r="L74" s="9" t="str">
        <f>IF(Z74="◎",COUNTIF($Z$30:Z74,"◎"),"")</f>
        <v/>
      </c>
      <c r="W74" s="397" t="str">
        <f>IF(B74="個別病床",はじめに入力してください!$K$13,IF(B74="共通使用",はじめに入力してください!$K$12,""))</f>
        <v/>
      </c>
      <c r="Y74" s="16">
        <v>45</v>
      </c>
      <c r="Z74" s="105" t="str">
        <f t="shared" si="3"/>
        <v>○</v>
      </c>
      <c r="AA74" s="106" t="str">
        <f t="shared" si="4"/>
        <v>整備しない場合は入力不要です。</v>
      </c>
    </row>
  </sheetData>
  <sheetProtection algorithmName="SHA-512" hashValue="inet9v+sJYKIycJE8Xqtqkuljy1gFSDIjH9psaK3MGkPxSxl2tnlctVH9r20QOLKL4+9GZrYvYmhRV40o2GRWQ==" saltValue="S67A/ZIcezEazC8qZyO8xg==" spinCount="100000" sheet="1" objects="1" scenarios="1"/>
  <mergeCells count="21">
    <mergeCell ref="K1:M1"/>
    <mergeCell ref="B22:L22"/>
    <mergeCell ref="B2:D3"/>
    <mergeCell ref="Z3:Z5"/>
    <mergeCell ref="AA3:AA5"/>
    <mergeCell ref="Z7:Z8"/>
    <mergeCell ref="AA7:AA8"/>
    <mergeCell ref="E9:L9"/>
    <mergeCell ref="B10:L10"/>
    <mergeCell ref="B13:L13"/>
    <mergeCell ref="B14:L14"/>
    <mergeCell ref="B15:L15"/>
    <mergeCell ref="B18:L21"/>
    <mergeCell ref="B26:L26"/>
    <mergeCell ref="Z27:Z28"/>
    <mergeCell ref="AA27:AA28"/>
    <mergeCell ref="B28:D28"/>
    <mergeCell ref="E28:F28"/>
    <mergeCell ref="G28:J28"/>
    <mergeCell ref="K28:K29"/>
    <mergeCell ref="L28:L29"/>
  </mergeCells>
  <phoneticPr fontId="5"/>
  <conditionalFormatting sqref="Z29:Z1048576 Z1:Z4 Z9:Z21 Z6:Z7 Z23:Z27">
    <cfRule type="containsText" dxfId="3" priority="4" operator="containsText" text="×">
      <formula>NOT(ISERROR(SEARCH("×",Z1)))</formula>
    </cfRule>
  </conditionalFormatting>
  <conditionalFormatting sqref="AA1:AA4 AA9:AA21 AA29:AA1048576 AA6:AA7 AA23:AA27">
    <cfRule type="containsText" dxfId="2" priority="3" operator="containsText" text="要修正">
      <formula>NOT(ISERROR(SEARCH("要修正",AA1)))</formula>
    </cfRule>
  </conditionalFormatting>
  <conditionalFormatting sqref="Z22">
    <cfRule type="containsText" dxfId="1" priority="2" operator="containsText" text="×">
      <formula>NOT(ISERROR(SEARCH("×",Z22)))</formula>
    </cfRule>
  </conditionalFormatting>
  <conditionalFormatting sqref="AA22">
    <cfRule type="containsText" dxfId="0" priority="1" operator="containsText" text="要修正">
      <formula>NOT(ISERROR(SEARCH("要修正",AA22)))</formula>
    </cfRule>
  </conditionalFormatting>
  <dataValidations count="8">
    <dataValidation type="list" allowBlank="1" showInputMessage="1" showErrorMessage="1" promptTitle="補助対象の該当非該当" prompt="コロナ対応病床の初度設備に係る経費が対象となります。_x000a_共用部分の設備、備品や医療用消耗品等は補助対象外なので「対象外」を選択してください。_x000a_審査において確認、対象外と認めたものについては対象外として補正をお願いする場合があります。" sqref="J30:J74" xr:uid="{00000000-0002-0000-1C00-000000000000}">
      <formula1>"補助対象,補助対象外"</formula1>
    </dataValidation>
    <dataValidation allowBlank="1" showInputMessage="1" showErrorMessage="1" promptTitle="金額の表示" prompt="数式が入力されているため、自動計算されます。" sqref="K30:K74 I30:I74" xr:uid="{00000000-0002-0000-1C00-000001000000}"/>
    <dataValidation allowBlank="1" showInputMessage="1" showErrorMessage="1" promptTitle="添付書類番号" prompt="種類、規格、数量、単価が全て適切に入力され、右の「判定」が「◎」と表示されると自動で番号が表示されます。" sqref="L30:L74" xr:uid="{00000000-0002-0000-1C00-000002000000}"/>
    <dataValidation allowBlank="1" showInputMessage="1" showErrorMessage="1" promptTitle="単価の入力" prompt="税抜額または税込額のいずれかを入力してください。_x000a_入力しない方は「0」は入力せず、空欄としてください。" sqref="G30:H74" xr:uid="{00000000-0002-0000-1C00-000003000000}"/>
    <dataValidation allowBlank="1" showInputMessage="1" showErrorMessage="1" promptTitle="規格及び数量の入力" prompt="補助対象経費を計上する際、いずれも入力してください。" sqref="E30:F74" xr:uid="{00000000-0002-0000-1C00-000004000000}"/>
    <dataValidation allowBlank="1" showInputMessage="1" showErrorMessage="1" promptTitle="補助対象金額" prompt="補助対象額×（見積書金額-割引額）/見積書金額_x000a_で算出されます。" sqref="J3" xr:uid="{00000000-0002-0000-1C00-000005000000}"/>
    <dataValidation allowBlank="1" showInputMessage="1" showErrorMessage="1" promptTitle="割引額がある場合は入力" prompt="割引がない場合は「0円」のままとしてください。" sqref="I3" xr:uid="{00000000-0002-0000-1C00-000006000000}"/>
    <dataValidation type="list" allowBlank="1" showInputMessage="1" showErrorMessage="1" promptTitle="設備、備品、その他の別を選択" prompt="当該行に記載する品目が_x000a_・「設備」（設備本体）_x000a_・備品（本体設備と別の構成をなすもの）_x000a_・その他（上記の該当しないもの）_x000a_の別をプルダウンから選択してください。" sqref="D30:D74" xr:uid="{00000000-0002-0000-1C00-000007000000}">
      <formula1>"設備,備品,その他"</formula1>
    </dataValidation>
  </dataValidations>
  <pageMargins left="0.7" right="0.7" top="0.75" bottom="0.75" header="0.3" footer="0.3"/>
  <pageSetup paperSize="9" scale="53"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C00-000008000000}">
          <x14:formula1>
            <xm:f>テーブル!$H$37:$H$51</xm:f>
          </x14:formula1>
          <xm:sqref>B2:D2</xm:sqref>
        </x14:dataValidation>
        <x14:dataValidation type="list" allowBlank="1" showInputMessage="1" showErrorMessage="1" promptTitle="配備先の別を選択" prompt="確保病床の共通使用のものか、個別のベッドに配備するものか選択してください。" xr:uid="{00000000-0002-0000-1C00-000009000000}">
          <x14:formula1>
            <xm:f>テーブル!$W$48:$W$49</xm:f>
          </x14:formula1>
          <xm:sqref>B30:B74</xm:sqref>
        </x14:dataValidation>
        <x14:dataValidation type="list" allowBlank="1" showInputMessage="1" showErrorMessage="1" promptTitle="「用途先」病床の選択（左の「病床」を選択しないと表示されません。" prompt="ベッドに必ずしも紐付けるものではありませんが、１病床１台で紐付けした場合、整備する病床に番号付けをした場合の番号を選択してください。" xr:uid="{00000000-0002-0000-1C00-00000A000000}">
          <x14:formula1>
            <xm:f>OFFSET(テーブル!$W$48, 0, MATCH(B30,テーブル!$X$47:$Y$47,0), COUNTA(OFFSET(テーブル!$W$48,0,MATCH(B30,テーブル!$X$47:$Y$47,0),$W$30,1)),1)</xm:f>
          </x14:formula1>
          <xm:sqref>C30:C74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G322"/>
  <sheetViews>
    <sheetView workbookViewId="0">
      <pane xSplit="2" ySplit="22" topLeftCell="C283" activePane="bottomRight" state="frozen"/>
      <selection activeCell="L20" sqref="L20:M20"/>
      <selection pane="topRight" activeCell="L20" sqref="L20:M20"/>
      <selection pane="bottomLeft" activeCell="L20" sqref="L20:M20"/>
      <selection pane="bottomRight" activeCell="L20" sqref="L20:M20"/>
    </sheetView>
  </sheetViews>
  <sheetFormatPr defaultColWidth="9" defaultRowHeight="10.5"/>
  <cols>
    <col min="1" max="1" width="9" style="109"/>
    <col min="2" max="2" width="9" style="281"/>
    <col min="3" max="16384" width="9" style="109"/>
  </cols>
  <sheetData>
    <row r="2" spans="2:10">
      <c r="B2" s="283"/>
      <c r="C2" s="285" t="s">
        <v>1140</v>
      </c>
      <c r="D2" s="422" t="s">
        <v>1147</v>
      </c>
      <c r="E2" s="285" t="s">
        <v>1141</v>
      </c>
      <c r="F2" s="285" t="s">
        <v>1142</v>
      </c>
      <c r="G2" s="285" t="s">
        <v>1143</v>
      </c>
      <c r="H2" s="422" t="s">
        <v>1144</v>
      </c>
      <c r="I2" s="422" t="s">
        <v>1145</v>
      </c>
      <c r="J2" s="285" t="s">
        <v>1146</v>
      </c>
    </row>
    <row r="3" spans="2:10">
      <c r="B3" s="420" t="s">
        <v>133</v>
      </c>
      <c r="C3" s="419">
        <f>初度設備!J3</f>
        <v>0</v>
      </c>
      <c r="D3" s="421" t="s">
        <v>1148</v>
      </c>
      <c r="E3" s="421" t="s">
        <v>1148</v>
      </c>
      <c r="F3" s="421" t="s">
        <v>1148</v>
      </c>
      <c r="G3" s="421" t="s">
        <v>1148</v>
      </c>
      <c r="H3" s="419">
        <f>D20</f>
        <v>0</v>
      </c>
      <c r="I3" s="284"/>
      <c r="J3" s="284"/>
    </row>
    <row r="4" spans="2:10">
      <c r="B4" s="420" t="s">
        <v>138</v>
      </c>
      <c r="C4" s="419">
        <f>人工呼吸器!J3</f>
        <v>0</v>
      </c>
      <c r="D4" s="421" t="s">
        <v>1148</v>
      </c>
      <c r="E4" s="421" t="s">
        <v>1148</v>
      </c>
      <c r="F4" s="421" t="s">
        <v>1148</v>
      </c>
      <c r="G4" s="421" t="s">
        <v>1148</v>
      </c>
      <c r="H4" s="419">
        <f>F20</f>
        <v>0</v>
      </c>
      <c r="I4" s="284"/>
      <c r="J4" s="284"/>
    </row>
    <row r="5" spans="2:10">
      <c r="B5" s="420" t="s">
        <v>142</v>
      </c>
      <c r="C5" s="419">
        <f>個人防護具!K2</f>
        <v>0</v>
      </c>
      <c r="D5" s="421" t="s">
        <v>1148</v>
      </c>
      <c r="E5" s="421" t="s">
        <v>1148</v>
      </c>
      <c r="F5" s="421" t="s">
        <v>1148</v>
      </c>
      <c r="G5" s="421" t="s">
        <v>1148</v>
      </c>
      <c r="H5" s="419" t="s">
        <v>1148</v>
      </c>
      <c r="I5" s="284"/>
      <c r="J5" s="284"/>
    </row>
    <row r="6" spans="2:10">
      <c r="B6" s="420" t="s">
        <v>602</v>
      </c>
      <c r="C6" s="419">
        <f>簡易陰圧装置!J3</f>
        <v>0</v>
      </c>
      <c r="D6" s="421" t="s">
        <v>1148</v>
      </c>
      <c r="E6" s="421" t="s">
        <v>1148</v>
      </c>
      <c r="F6" s="421" t="s">
        <v>1148</v>
      </c>
      <c r="G6" s="421" t="s">
        <v>1148</v>
      </c>
      <c r="H6" s="419">
        <f>J20</f>
        <v>0</v>
      </c>
      <c r="I6" s="284"/>
      <c r="J6" s="284"/>
    </row>
    <row r="7" spans="2:10">
      <c r="B7" s="420" t="s">
        <v>604</v>
      </c>
      <c r="C7" s="419">
        <f>簡易ベッド!J3</f>
        <v>0</v>
      </c>
      <c r="D7" s="421" t="s">
        <v>1148</v>
      </c>
      <c r="E7" s="421" t="s">
        <v>1148</v>
      </c>
      <c r="F7" s="421" t="s">
        <v>1148</v>
      </c>
      <c r="G7" s="421" t="s">
        <v>1148</v>
      </c>
      <c r="H7" s="419">
        <f>L20</f>
        <v>0</v>
      </c>
      <c r="I7" s="284"/>
      <c r="J7" s="284"/>
    </row>
    <row r="8" spans="2:10">
      <c r="B8" s="420" t="s">
        <v>578</v>
      </c>
      <c r="C8" s="419">
        <f>体外式膜型人工肺!J3</f>
        <v>0</v>
      </c>
      <c r="D8" s="421" t="s">
        <v>1148</v>
      </c>
      <c r="E8" s="421" t="s">
        <v>1148</v>
      </c>
      <c r="F8" s="421" t="s">
        <v>1148</v>
      </c>
      <c r="G8" s="421" t="s">
        <v>1148</v>
      </c>
      <c r="H8" s="419">
        <f>N20</f>
        <v>0</v>
      </c>
      <c r="I8" s="284"/>
      <c r="J8" s="284"/>
    </row>
    <row r="9" spans="2:10">
      <c r="B9" s="420" t="s">
        <v>145</v>
      </c>
      <c r="C9" s="419">
        <f>簡易病室!J3</f>
        <v>0</v>
      </c>
      <c r="D9" s="421" t="s">
        <v>1148</v>
      </c>
      <c r="E9" s="421" t="s">
        <v>1148</v>
      </c>
      <c r="F9" s="421" t="s">
        <v>1148</v>
      </c>
      <c r="G9" s="421" t="s">
        <v>1148</v>
      </c>
      <c r="H9" s="419" t="s">
        <v>1148</v>
      </c>
      <c r="I9" s="284"/>
      <c r="J9" s="284"/>
    </row>
    <row r="10" spans="2:10">
      <c r="B10" s="420" t="s">
        <v>582</v>
      </c>
      <c r="C10" s="419">
        <f>紫外線照射装置!J3</f>
        <v>0</v>
      </c>
      <c r="D10" s="421" t="s">
        <v>1148</v>
      </c>
      <c r="E10" s="421" t="s">
        <v>1148</v>
      </c>
      <c r="F10" s="421" t="s">
        <v>1148</v>
      </c>
      <c r="G10" s="421" t="s">
        <v>1148</v>
      </c>
      <c r="H10" s="419">
        <f>R20</f>
        <v>0</v>
      </c>
      <c r="I10" s="284"/>
      <c r="J10" s="284"/>
    </row>
    <row r="11" spans="2:10">
      <c r="B11" s="420" t="s">
        <v>148</v>
      </c>
      <c r="C11" s="419">
        <f>超音波画像診断装置!J3</f>
        <v>0</v>
      </c>
      <c r="D11" s="421" t="s">
        <v>1148</v>
      </c>
      <c r="E11" s="421" t="s">
        <v>1148</v>
      </c>
      <c r="F11" s="421" t="s">
        <v>1148</v>
      </c>
      <c r="G11" s="421" t="s">
        <v>1148</v>
      </c>
      <c r="H11" s="419">
        <f>U20</f>
        <v>0</v>
      </c>
      <c r="I11" s="284"/>
      <c r="J11" s="284"/>
    </row>
    <row r="12" spans="2:10">
      <c r="B12" s="420" t="s">
        <v>151</v>
      </c>
      <c r="C12" s="419">
        <f>血液浄化装置!J3</f>
        <v>0</v>
      </c>
      <c r="D12" s="421" t="s">
        <v>1148</v>
      </c>
      <c r="E12" s="421" t="s">
        <v>1148</v>
      </c>
      <c r="F12" s="421" t="s">
        <v>1148</v>
      </c>
      <c r="G12" s="421" t="s">
        <v>1148</v>
      </c>
      <c r="H12" s="419">
        <f>W20</f>
        <v>0</v>
      </c>
      <c r="I12" s="284"/>
      <c r="J12" s="284"/>
    </row>
    <row r="13" spans="2:10">
      <c r="B13" s="420" t="s">
        <v>154</v>
      </c>
      <c r="C13" s="419">
        <f>気管支鏡!J3</f>
        <v>0</v>
      </c>
      <c r="D13" s="421" t="s">
        <v>1148</v>
      </c>
      <c r="E13" s="421" t="s">
        <v>1148</v>
      </c>
      <c r="F13" s="421" t="s">
        <v>1148</v>
      </c>
      <c r="G13" s="421" t="s">
        <v>1148</v>
      </c>
      <c r="H13" s="419">
        <f>Y20</f>
        <v>0</v>
      </c>
      <c r="I13" s="284"/>
      <c r="J13" s="284"/>
    </row>
    <row r="14" spans="2:10">
      <c r="B14" s="420" t="s">
        <v>607</v>
      </c>
      <c r="C14" s="419">
        <f>CT撮影装置!J3</f>
        <v>0</v>
      </c>
      <c r="D14" s="421" t="s">
        <v>1148</v>
      </c>
      <c r="E14" s="421" t="s">
        <v>1148</v>
      </c>
      <c r="F14" s="421" t="s">
        <v>1148</v>
      </c>
      <c r="G14" s="421" t="s">
        <v>1148</v>
      </c>
      <c r="H14" s="419">
        <f>AA20</f>
        <v>0</v>
      </c>
      <c r="I14" s="284"/>
      <c r="J14" s="284"/>
    </row>
    <row r="15" spans="2:10">
      <c r="B15" s="420" t="s">
        <v>588</v>
      </c>
      <c r="C15" s="419">
        <f>生体情報モニタ!J3</f>
        <v>0</v>
      </c>
      <c r="D15" s="421" t="s">
        <v>1148</v>
      </c>
      <c r="E15" s="421" t="s">
        <v>1148</v>
      </c>
      <c r="F15" s="421" t="s">
        <v>1148</v>
      </c>
      <c r="G15" s="421" t="s">
        <v>1148</v>
      </c>
      <c r="H15" s="419">
        <f>AC20</f>
        <v>0</v>
      </c>
      <c r="I15" s="284"/>
      <c r="J15" s="284"/>
    </row>
    <row r="16" spans="2:10">
      <c r="B16" s="420" t="s">
        <v>163</v>
      </c>
      <c r="C16" s="419">
        <f>分娩監視装置!J3</f>
        <v>0</v>
      </c>
      <c r="D16" s="421" t="s">
        <v>1148</v>
      </c>
      <c r="E16" s="421" t="s">
        <v>1148</v>
      </c>
      <c r="F16" s="421" t="s">
        <v>1148</v>
      </c>
      <c r="G16" s="421" t="s">
        <v>1148</v>
      </c>
      <c r="H16" s="419">
        <f>AE20</f>
        <v>0</v>
      </c>
      <c r="I16" s="284"/>
      <c r="J16" s="284"/>
    </row>
    <row r="17" spans="2:33">
      <c r="B17" s="420" t="s">
        <v>166</v>
      </c>
      <c r="C17" s="419">
        <f>新生児モニタ!J3</f>
        <v>0</v>
      </c>
      <c r="D17" s="421" t="s">
        <v>1148</v>
      </c>
      <c r="E17" s="421" t="s">
        <v>1148</v>
      </c>
      <c r="F17" s="421" t="s">
        <v>1148</v>
      </c>
      <c r="G17" s="421" t="s">
        <v>1148</v>
      </c>
      <c r="H17" s="419">
        <f>AG20</f>
        <v>0</v>
      </c>
      <c r="I17" s="284"/>
      <c r="J17" s="284"/>
    </row>
    <row r="20" spans="2:33" s="111" customFormat="1" ht="9.75" customHeight="1">
      <c r="B20" s="118"/>
      <c r="C20" s="462" t="s">
        <v>641</v>
      </c>
      <c r="D20" s="415">
        <f>SUM(D23:D322)</f>
        <v>0</v>
      </c>
      <c r="E20" s="462" t="s">
        <v>1136</v>
      </c>
      <c r="F20" s="464">
        <f>SUM(F23:F322)</f>
        <v>0</v>
      </c>
      <c r="G20" s="465"/>
      <c r="H20" s="466"/>
      <c r="I20" s="462" t="s">
        <v>644</v>
      </c>
      <c r="J20" s="415">
        <f>SUM(J23:J322)</f>
        <v>0</v>
      </c>
      <c r="K20" s="462" t="s">
        <v>645</v>
      </c>
      <c r="L20" s="415">
        <f>SUM(L23:L322)</f>
        <v>0</v>
      </c>
      <c r="M20" s="462" t="s">
        <v>1139</v>
      </c>
      <c r="N20" s="464">
        <f>SUM(N23:N322)</f>
        <v>0</v>
      </c>
      <c r="O20" s="465"/>
      <c r="P20" s="466"/>
      <c r="Q20" s="462" t="s">
        <v>646</v>
      </c>
      <c r="R20" s="464">
        <f>MIN(SUM(R23:R322),8000000*1/2)</f>
        <v>0</v>
      </c>
      <c r="S20" s="466"/>
      <c r="T20" s="462" t="s">
        <v>647</v>
      </c>
      <c r="U20" s="415">
        <f>SUM(U23:U322)</f>
        <v>0</v>
      </c>
      <c r="V20" s="462" t="s">
        <v>648</v>
      </c>
      <c r="W20" s="415">
        <f>SUM(W23:W322)</f>
        <v>0</v>
      </c>
      <c r="X20" s="462" t="s">
        <v>649</v>
      </c>
      <c r="Y20" s="415">
        <f>SUM(Y23:Y322)</f>
        <v>0</v>
      </c>
      <c r="Z20" s="462" t="s">
        <v>650</v>
      </c>
      <c r="AA20" s="415">
        <f>SUM(AA23:AA322)</f>
        <v>0</v>
      </c>
      <c r="AB20" s="462" t="s">
        <v>651</v>
      </c>
      <c r="AC20" s="415">
        <f>SUM(AC23:AC322)</f>
        <v>0</v>
      </c>
      <c r="AD20" s="462" t="s">
        <v>652</v>
      </c>
      <c r="AE20" s="415">
        <f>SUM(AE23:AE322)</f>
        <v>0</v>
      </c>
      <c r="AF20" s="462" t="s">
        <v>653</v>
      </c>
      <c r="AG20" s="415">
        <f>SUM(AG23:AG322)</f>
        <v>0</v>
      </c>
    </row>
    <row r="21" spans="2:33" s="418" customFormat="1" ht="9.75" customHeight="1">
      <c r="B21" s="416"/>
      <c r="C21" s="463"/>
      <c r="D21" s="417">
        <v>133000</v>
      </c>
      <c r="E21" s="463"/>
      <c r="F21" s="467">
        <v>5000000</v>
      </c>
      <c r="G21" s="465"/>
      <c r="H21" s="466"/>
      <c r="I21" s="463"/>
      <c r="J21" s="417">
        <v>4320000</v>
      </c>
      <c r="K21" s="463"/>
      <c r="L21" s="417">
        <v>51400</v>
      </c>
      <c r="M21" s="463"/>
      <c r="N21" s="467">
        <v>21000000</v>
      </c>
      <c r="O21" s="465"/>
      <c r="P21" s="466"/>
      <c r="Q21" s="463"/>
      <c r="R21" s="467">
        <v>8000000</v>
      </c>
      <c r="S21" s="466"/>
      <c r="T21" s="463"/>
      <c r="U21" s="417">
        <v>11000000</v>
      </c>
      <c r="V21" s="463"/>
      <c r="W21" s="417">
        <v>6600000</v>
      </c>
      <c r="X21" s="463"/>
      <c r="Y21" s="417">
        <v>5500000</v>
      </c>
      <c r="Z21" s="463"/>
      <c r="AA21" s="417">
        <v>66000000</v>
      </c>
      <c r="AB21" s="463"/>
      <c r="AC21" s="417">
        <v>1100000</v>
      </c>
      <c r="AD21" s="463"/>
      <c r="AE21" s="417">
        <v>2200000</v>
      </c>
      <c r="AF21" s="463"/>
      <c r="AG21" s="417">
        <v>1100000</v>
      </c>
    </row>
    <row r="22" spans="2:33">
      <c r="B22" s="283"/>
      <c r="C22" s="285" t="s">
        <v>642</v>
      </c>
      <c r="D22" s="285" t="s">
        <v>643</v>
      </c>
      <c r="E22" s="285" t="s">
        <v>642</v>
      </c>
      <c r="F22" s="285" t="s">
        <v>643</v>
      </c>
      <c r="G22" s="414" t="s">
        <v>1137</v>
      </c>
      <c r="H22" s="414" t="s">
        <v>1138</v>
      </c>
      <c r="I22" s="285" t="s">
        <v>642</v>
      </c>
      <c r="J22" s="285" t="s">
        <v>643</v>
      </c>
      <c r="K22" s="285" t="s">
        <v>642</v>
      </c>
      <c r="L22" s="285" t="s">
        <v>643</v>
      </c>
      <c r="M22" s="285" t="s">
        <v>642</v>
      </c>
      <c r="N22" s="285" t="s">
        <v>643</v>
      </c>
      <c r="O22" s="414" t="s">
        <v>1137</v>
      </c>
      <c r="P22" s="414" t="s">
        <v>1138</v>
      </c>
      <c r="Q22" s="285" t="s">
        <v>642</v>
      </c>
      <c r="R22" s="285" t="s">
        <v>643</v>
      </c>
      <c r="S22" s="285" t="s">
        <v>1138</v>
      </c>
      <c r="T22" s="285" t="s">
        <v>642</v>
      </c>
      <c r="U22" s="285" t="s">
        <v>643</v>
      </c>
      <c r="V22" s="285" t="s">
        <v>642</v>
      </c>
      <c r="W22" s="285" t="s">
        <v>643</v>
      </c>
      <c r="X22" s="285" t="s">
        <v>642</v>
      </c>
      <c r="Y22" s="285" t="s">
        <v>643</v>
      </c>
      <c r="Z22" s="285" t="s">
        <v>642</v>
      </c>
      <c r="AA22" s="285" t="s">
        <v>643</v>
      </c>
      <c r="AB22" s="285" t="s">
        <v>642</v>
      </c>
      <c r="AC22" s="285" t="s">
        <v>643</v>
      </c>
      <c r="AD22" s="285" t="s">
        <v>642</v>
      </c>
      <c r="AE22" s="285" t="s">
        <v>643</v>
      </c>
      <c r="AF22" s="285" t="s">
        <v>642</v>
      </c>
      <c r="AG22" s="285" t="s">
        <v>643</v>
      </c>
    </row>
    <row r="23" spans="2:33">
      <c r="B23" s="283" t="s">
        <v>836</v>
      </c>
      <c r="C23" s="305">
        <f>IFERROR(SUMIF(初度設備!$C$30:$C$74,B23,初度設備!$K$30:$K$74)*((初度設備!$H$3-初度設備!$I$3)/初度設備!$H$3),0)</f>
        <v>0</v>
      </c>
      <c r="D23" s="306">
        <f>ROUNDDOWN(MIN(C23,$D$21),-3)</f>
        <v>0</v>
      </c>
      <c r="E23" s="305">
        <f>IFERROR(SUMIF(人工呼吸器!$C$30:$C$74,B23,人工呼吸器!$K$30:$K$74)*((人工呼吸器!$H$3-人工呼吸器!$I$3)/人工呼吸器!$H$3),0)</f>
        <v>0</v>
      </c>
      <c r="F23" s="306">
        <f>ROUNDDOWN(E23,-3)</f>
        <v>0</v>
      </c>
      <c r="G23" s="306">
        <f>IF(F23&gt;=5000000,5000000,F23)</f>
        <v>0</v>
      </c>
      <c r="H23" s="306">
        <f>IF(G23=5000000,F23-5000000,0)</f>
        <v>0</v>
      </c>
      <c r="I23" s="305">
        <f>IFERROR(SUMIF(簡易陰圧装置!$C$30:$C$74,B23,簡易陰圧装置!$K$30:$K$74)*((簡易陰圧装置!$H$3-簡易陰圧装置!$I$3)/簡易陰圧装置!$H$3),0)</f>
        <v>0</v>
      </c>
      <c r="J23" s="306">
        <f>ROUNDDOWN(MIN(I23,$J$21),-3)</f>
        <v>0</v>
      </c>
      <c r="K23" s="305">
        <f>IFERROR(SUMIF(簡易ベッド!$C$30:$C$74,B23,簡易ベッド!$K$30:$K$74)*((簡易ベッド!$H$3-簡易ベッド!$I$3)/簡易ベッド!$H$3),0)</f>
        <v>0</v>
      </c>
      <c r="L23" s="306">
        <f>ROUNDDOWN(MIN(K23,$L$21),-3)</f>
        <v>0</v>
      </c>
      <c r="M23" s="305">
        <f>IFERROR(SUMIF(体外式膜型人工肺!$C$30:$C$74,B23,体外式膜型人工肺!$K$30:$K$74)*((体外式膜型人工肺!$H$3-体外式膜型人工肺!$I$3)/体外式膜型人工肺!$H$3),0)</f>
        <v>0</v>
      </c>
      <c r="N23" s="306">
        <f>ROUNDDOWN(M23,-3)</f>
        <v>0</v>
      </c>
      <c r="O23" s="306">
        <f>IF(N23&gt;=21000000,21000000,N23)</f>
        <v>0</v>
      </c>
      <c r="P23" s="306">
        <f>IF(O23=21000000,N23-21000000,0)</f>
        <v>0</v>
      </c>
      <c r="Q23" s="305">
        <f>IFERROR(SUMIF(紫外線照射装置!$C$30:$C$74,B23,紫外線照射装置!$K$30:$K$74)*((紫外線照射装置!$H$3-紫外線照射装置!$I$3)/紫外線照射装置!$H$3),0)</f>
        <v>0</v>
      </c>
      <c r="R23" s="306">
        <f>IFERROR(ROUNDDOWN(MIN(Q23,$R$21)/2,-3),0)</f>
        <v>0</v>
      </c>
      <c r="S23" s="419">
        <f>R23</f>
        <v>0</v>
      </c>
      <c r="T23" s="305">
        <f>IFERROR(SUMIF(超音波画像診断装置!$C$30:$C$74,B23,超音波画像診断装置!$K$30:$K$74)*((超音波画像診断装置!$H$3-超音波画像診断装置!$I$3)/超音波画像診断装置!$H$3),0)</f>
        <v>0</v>
      </c>
      <c r="U23" s="306">
        <f>ROUNDDOWN(MIN(T23,$U$21),-3)</f>
        <v>0</v>
      </c>
      <c r="V23" s="305">
        <f>IFERROR(SUMIF(血液浄化装置!$C$30:$C$74,B23,血液浄化装置!$K$30:$K$74)*((血液浄化装置!$H$3-血液浄化装置!$I$3)/血液浄化装置!$H$3),0)</f>
        <v>0</v>
      </c>
      <c r="W23" s="306">
        <f>ROUNDDOWN(MIN(V23,$W$21),-3)</f>
        <v>0</v>
      </c>
      <c r="X23" s="305">
        <f>IFERROR(SUMIF(気管支鏡!$C$30:$C$74,B23,気管支鏡!$K$30:$K$74)*((気管支鏡!$H$3-気管支鏡!$I$3)/気管支鏡!$H$3),0)</f>
        <v>0</v>
      </c>
      <c r="Y23" s="306">
        <f t="shared" ref="Y23:Y86" si="0">ROUNDDOWN(MIN(X23,$Y$21),-3)</f>
        <v>0</v>
      </c>
      <c r="Z23" s="305">
        <f>IFERROR(SUMIF(CT撮影装置!$C$30:$C$74,B23,CT撮影装置!$K$30:$K$74)*((CT撮影装置!$H$3-CT撮影装置!$I$3)/CT撮影装置!$H$3),0)</f>
        <v>0</v>
      </c>
      <c r="AA23" s="306">
        <f>ROUNDDOWN(MIN(Z23,$AA$21),-3)</f>
        <v>0</v>
      </c>
      <c r="AB23" s="305">
        <f>IFERROR(SUMIF(生体情報モニタ!$C$30:$C$74,B23,生体情報モニタ!$K$30:$K$74)*((生体情報モニタ!$H$3-生体情報モニタ!$I$3)/生体情報モニタ!$H$3),0)</f>
        <v>0</v>
      </c>
      <c r="AC23" s="306">
        <f t="shared" ref="AC23:AC86" si="1">ROUNDDOWN(MIN(AB23,$AC$21),-3)</f>
        <v>0</v>
      </c>
      <c r="AD23" s="305">
        <f>IFERROR(SUMIF(分娩監視装置!$C$30:$C$74,B23,分娩監視装置!$K$30:$K$74)*((分娩監視装置!$H$3-分娩監視装置!$I$3)/分娩監視装置!$H$3),0)</f>
        <v>0</v>
      </c>
      <c r="AE23" s="306">
        <f>ROUNDDOWN(MIN(AD23,$AE$21),-3)</f>
        <v>0</v>
      </c>
      <c r="AF23" s="305">
        <f>IFERROR(SUMIF(新生児モニタ!$C$30:$C$74,B23,新生児モニタ!$K$30:$K$74)*((新生児モニタ!$H$3-新生児モニタ!$I$3)/新生児モニタ!$H$3),0)</f>
        <v>0</v>
      </c>
      <c r="AG23" s="306">
        <f>ROUNDDOWN(MIN(AF23,$AG$21),-3)</f>
        <v>0</v>
      </c>
    </row>
    <row r="24" spans="2:33">
      <c r="B24" s="283" t="s">
        <v>837</v>
      </c>
      <c r="C24" s="305">
        <f>IFERROR(SUMIF(初度設備!$C$30:$C$74,B24,初度設備!$K$30:$K$74)*((初度設備!$H$3-初度設備!$I$3)/初度設備!$H$3),0)</f>
        <v>0</v>
      </c>
      <c r="D24" s="306">
        <f t="shared" ref="D24:D87" si="2">ROUNDDOWN(MIN(C24,$D$21),-3)</f>
        <v>0</v>
      </c>
      <c r="E24" s="305">
        <f>IFERROR(SUMIF(人工呼吸器!$C$30:$C$74,B24,人工呼吸器!$K$30:$K$74)*((人工呼吸器!$H$3-人工呼吸器!$I$3)/人工呼吸器!$H$3),0)</f>
        <v>0</v>
      </c>
      <c r="F24" s="306">
        <f t="shared" ref="F24:F87" si="3">ROUNDDOWN(E24,-3)</f>
        <v>0</v>
      </c>
      <c r="G24" s="306">
        <f t="shared" ref="G24:G87" si="4">IF(F24&gt;=5000000,5000000,F24)</f>
        <v>0</v>
      </c>
      <c r="H24" s="306">
        <f t="shared" ref="H24:H87" si="5">IF(G24=5000000,F24-5000000,0)</f>
        <v>0</v>
      </c>
      <c r="I24" s="305">
        <f>IFERROR(SUMIF(簡易陰圧装置!$C$30:$C$74,B24,簡易陰圧装置!$K$30:$K$74)*((簡易陰圧装置!$H$3-簡易陰圧装置!$I$3)/簡易陰圧装置!$H$3),0)</f>
        <v>0</v>
      </c>
      <c r="J24" s="306">
        <f t="shared" ref="J24:J87" si="6">ROUNDDOWN(MIN(I24,$J$21),-3)</f>
        <v>0</v>
      </c>
      <c r="K24" s="305">
        <f>IFERROR(SUMIF(簡易ベッド!$C$30:$C$74,B24,簡易ベッド!$K$30:$K$74)*((簡易ベッド!$H$3-簡易ベッド!$I$3)/簡易ベッド!$H$3),0)</f>
        <v>0</v>
      </c>
      <c r="L24" s="306">
        <f t="shared" ref="L24:L87" si="7">ROUNDDOWN(MIN(K24,$L$21),-3)</f>
        <v>0</v>
      </c>
      <c r="M24" s="305">
        <f>IFERROR(SUMIF(体外式膜型人工肺!$C$30:$C$74,B24,体外式膜型人工肺!$K$30:$K$74)*((体外式膜型人工肺!$H$3-体外式膜型人工肺!$I$3)/体外式膜型人工肺!$H$3),0)</f>
        <v>0</v>
      </c>
      <c r="N24" s="306">
        <f t="shared" ref="N24:N87" si="8">ROUNDDOWN(M24,-3)</f>
        <v>0</v>
      </c>
      <c r="O24" s="306">
        <f t="shared" ref="O24:O87" si="9">IF(N24&gt;=21000000,21000000,N24)</f>
        <v>0</v>
      </c>
      <c r="P24" s="306">
        <f t="shared" ref="P24:P87" si="10">IF(O24=21000000,N24-21000000,0)</f>
        <v>0</v>
      </c>
      <c r="Q24" s="305">
        <f>IFERROR(SUMIF(紫外線照射装置!$C$30:$C$74,B24,紫外線照射装置!$K$30:$K$74)*((紫外線照射装置!$H$3-紫外線照射装置!$I$3)/紫外線照射装置!$H$3),0)</f>
        <v>0</v>
      </c>
      <c r="R24" s="306">
        <f t="shared" ref="R24:R87" si="11">IFERROR(ROUNDDOWN(MIN(Q24,$R$21)/2,-3),0)</f>
        <v>0</v>
      </c>
      <c r="S24" s="419">
        <f t="shared" ref="S24:S87" si="12">R24</f>
        <v>0</v>
      </c>
      <c r="T24" s="305">
        <f>IFERROR(SUMIF(超音波画像診断装置!$C$30:$C$74,B24,超音波画像診断装置!$K$30:$K$74)*((超音波画像診断装置!$H$3-超音波画像診断装置!$I$3)/超音波画像診断装置!$H$3),0)</f>
        <v>0</v>
      </c>
      <c r="U24" s="306">
        <f t="shared" ref="U24:U87" si="13">ROUNDDOWN(MIN(T24,$U$21),-3)</f>
        <v>0</v>
      </c>
      <c r="V24" s="305">
        <f>IFERROR(SUMIF(血液浄化装置!$C$30:$C$74,B24,血液浄化装置!$K$30:$K$74)*((血液浄化装置!$H$3-血液浄化装置!$I$3)/血液浄化装置!$H$3),0)</f>
        <v>0</v>
      </c>
      <c r="W24" s="306">
        <f t="shared" ref="W24:W87" si="14">ROUNDDOWN(MIN(V24,$W$21),-3)</f>
        <v>0</v>
      </c>
      <c r="X24" s="305">
        <f>IFERROR(SUMIF(気管支鏡!$C$30:$C$74,B24,気管支鏡!$K$30:$K$74)*((気管支鏡!$H$3-気管支鏡!$I$3)/気管支鏡!$H$3),0)</f>
        <v>0</v>
      </c>
      <c r="Y24" s="306">
        <f t="shared" si="0"/>
        <v>0</v>
      </c>
      <c r="Z24" s="305">
        <f>IFERROR(SUMIF(CT撮影装置!$C$30:$C$74,B24,CT撮影装置!$K$30:$K$74)*((CT撮影装置!$H$3-CT撮影装置!$I$3)/CT撮影装置!$H$3),0)</f>
        <v>0</v>
      </c>
      <c r="AA24" s="306">
        <f t="shared" ref="AA24:AA87" si="15">ROUNDDOWN(MIN(Z24,$AA$21),-3)</f>
        <v>0</v>
      </c>
      <c r="AB24" s="305">
        <f>IFERROR(SUMIF(生体情報モニタ!$C$30:$C$74,B24,生体情報モニタ!$K$30:$K$74)*((生体情報モニタ!$H$3-生体情報モニタ!$I$3)/生体情報モニタ!$H$3),0)</f>
        <v>0</v>
      </c>
      <c r="AC24" s="306">
        <f t="shared" si="1"/>
        <v>0</v>
      </c>
      <c r="AD24" s="305">
        <f>IFERROR(SUMIF(分娩監視装置!$C$30:$C$74,B24,分娩監視装置!$K$30:$K$74)*((分娩監視装置!$H$3-分娩監視装置!$I$3)/分娩監視装置!$H$3),0)</f>
        <v>0</v>
      </c>
      <c r="AE24" s="306">
        <f t="shared" ref="AE24:AE87" si="16">ROUNDDOWN(MIN(AD24,$AE$21),-3)</f>
        <v>0</v>
      </c>
      <c r="AF24" s="305">
        <f>IFERROR(SUMIF(新生児モニタ!$C$30:$C$74,B24,新生児モニタ!$K$30:$K$74)*((新生児モニタ!$H$3-新生児モニタ!$I$3)/新生児モニタ!$H$3),0)</f>
        <v>0</v>
      </c>
      <c r="AG24" s="306">
        <f t="shared" ref="AG24:AG87" si="17">ROUNDDOWN(MIN(AF24,$AG$21),-3)</f>
        <v>0</v>
      </c>
    </row>
    <row r="25" spans="2:33">
      <c r="B25" s="283" t="s">
        <v>838</v>
      </c>
      <c r="C25" s="305">
        <f>IFERROR(SUMIF(初度設備!$C$30:$C$74,B25,初度設備!$K$30:$K$74)*((初度設備!$H$3-初度設備!$I$3)/初度設備!$H$3),0)</f>
        <v>0</v>
      </c>
      <c r="D25" s="306">
        <f t="shared" si="2"/>
        <v>0</v>
      </c>
      <c r="E25" s="305">
        <f>IFERROR(SUMIF(人工呼吸器!$C$30:$C$74,B25,人工呼吸器!$K$30:$K$74)*((人工呼吸器!$H$3-人工呼吸器!$I$3)/人工呼吸器!$H$3),0)</f>
        <v>0</v>
      </c>
      <c r="F25" s="306">
        <f t="shared" si="3"/>
        <v>0</v>
      </c>
      <c r="G25" s="306">
        <f t="shared" si="4"/>
        <v>0</v>
      </c>
      <c r="H25" s="306">
        <f t="shared" si="5"/>
        <v>0</v>
      </c>
      <c r="I25" s="305">
        <f>IFERROR(SUMIF(簡易陰圧装置!$C$30:$C$74,B25,簡易陰圧装置!$K$30:$K$74)*((簡易陰圧装置!$H$3-簡易陰圧装置!$I$3)/簡易陰圧装置!$H$3),0)</f>
        <v>0</v>
      </c>
      <c r="J25" s="306">
        <f t="shared" si="6"/>
        <v>0</v>
      </c>
      <c r="K25" s="305">
        <f>IFERROR(SUMIF(簡易ベッド!$C$30:$C$74,B25,簡易ベッド!$K$30:$K$74)*((簡易ベッド!$H$3-簡易ベッド!$I$3)/簡易ベッド!$H$3),0)</f>
        <v>0</v>
      </c>
      <c r="L25" s="306">
        <f t="shared" si="7"/>
        <v>0</v>
      </c>
      <c r="M25" s="305">
        <f>IFERROR(SUMIF(体外式膜型人工肺!$C$30:$C$74,B25,体外式膜型人工肺!$K$30:$K$74)*((体外式膜型人工肺!$H$3-体外式膜型人工肺!$I$3)/体外式膜型人工肺!$H$3),0)</f>
        <v>0</v>
      </c>
      <c r="N25" s="306">
        <f t="shared" si="8"/>
        <v>0</v>
      </c>
      <c r="O25" s="306">
        <f t="shared" si="9"/>
        <v>0</v>
      </c>
      <c r="P25" s="306">
        <f t="shared" si="10"/>
        <v>0</v>
      </c>
      <c r="Q25" s="305">
        <f>IFERROR(SUMIF(紫外線照射装置!$C$30:$C$74,B25,紫外線照射装置!$K$30:$K$74)*((紫外線照射装置!$H$3-紫外線照射装置!$I$3)/紫外線照射装置!$H$3),0)</f>
        <v>0</v>
      </c>
      <c r="R25" s="306">
        <f t="shared" si="11"/>
        <v>0</v>
      </c>
      <c r="S25" s="419">
        <f t="shared" si="12"/>
        <v>0</v>
      </c>
      <c r="T25" s="305">
        <f>IFERROR(SUMIF(超音波画像診断装置!$C$30:$C$74,B25,超音波画像診断装置!$K$30:$K$74)*((超音波画像診断装置!$H$3-超音波画像診断装置!$I$3)/超音波画像診断装置!$H$3),0)</f>
        <v>0</v>
      </c>
      <c r="U25" s="306">
        <f t="shared" si="13"/>
        <v>0</v>
      </c>
      <c r="V25" s="305">
        <f>IFERROR(SUMIF(血液浄化装置!$C$30:$C$74,B25,血液浄化装置!$K$30:$K$74)*((血液浄化装置!$H$3-血液浄化装置!$I$3)/血液浄化装置!$H$3),0)</f>
        <v>0</v>
      </c>
      <c r="W25" s="306">
        <f t="shared" si="14"/>
        <v>0</v>
      </c>
      <c r="X25" s="305">
        <f>IFERROR(SUMIF(気管支鏡!$C$30:$C$74,B25,気管支鏡!$K$30:$K$74)*((気管支鏡!$H$3-気管支鏡!$I$3)/気管支鏡!$H$3),0)</f>
        <v>0</v>
      </c>
      <c r="Y25" s="306">
        <f t="shared" si="0"/>
        <v>0</v>
      </c>
      <c r="Z25" s="305">
        <f>IFERROR(SUMIF(CT撮影装置!$C$30:$C$74,B25,CT撮影装置!$K$30:$K$74)*((CT撮影装置!$H$3-CT撮影装置!$I$3)/CT撮影装置!$H$3),0)</f>
        <v>0</v>
      </c>
      <c r="AA25" s="306">
        <f t="shared" si="15"/>
        <v>0</v>
      </c>
      <c r="AB25" s="305">
        <f>IFERROR(SUMIF(生体情報モニタ!$C$30:$C$74,B25,生体情報モニタ!$K$30:$K$74)*((生体情報モニタ!$H$3-生体情報モニタ!$I$3)/生体情報モニタ!$H$3),0)</f>
        <v>0</v>
      </c>
      <c r="AC25" s="306">
        <f t="shared" si="1"/>
        <v>0</v>
      </c>
      <c r="AD25" s="305">
        <f>IFERROR(SUMIF(分娩監視装置!$C$30:$C$74,B25,分娩監視装置!$K$30:$K$74)*((分娩監視装置!$H$3-分娩監視装置!$I$3)/分娩監視装置!$H$3),0)</f>
        <v>0</v>
      </c>
      <c r="AE25" s="306">
        <f t="shared" si="16"/>
        <v>0</v>
      </c>
      <c r="AF25" s="305">
        <f>IFERROR(SUMIF(新生児モニタ!$C$30:$C$74,B25,新生児モニタ!$K$30:$K$74)*((新生児モニタ!$H$3-新生児モニタ!$I$3)/新生児モニタ!$H$3),0)</f>
        <v>0</v>
      </c>
      <c r="AG25" s="306">
        <f t="shared" si="17"/>
        <v>0</v>
      </c>
    </row>
    <row r="26" spans="2:33">
      <c r="B26" s="283" t="s">
        <v>839</v>
      </c>
      <c r="C26" s="305">
        <f>IFERROR(SUMIF(初度設備!$C$30:$C$74,B26,初度設備!$K$30:$K$74)*((初度設備!$H$3-初度設備!$I$3)/初度設備!$H$3),0)</f>
        <v>0</v>
      </c>
      <c r="D26" s="306">
        <f t="shared" si="2"/>
        <v>0</v>
      </c>
      <c r="E26" s="305">
        <f>IFERROR(SUMIF(人工呼吸器!$C$30:$C$74,B26,人工呼吸器!$K$30:$K$74)*((人工呼吸器!$H$3-人工呼吸器!$I$3)/人工呼吸器!$H$3),0)</f>
        <v>0</v>
      </c>
      <c r="F26" s="306">
        <f t="shared" si="3"/>
        <v>0</v>
      </c>
      <c r="G26" s="306">
        <f t="shared" si="4"/>
        <v>0</v>
      </c>
      <c r="H26" s="306">
        <f t="shared" si="5"/>
        <v>0</v>
      </c>
      <c r="I26" s="305">
        <f>IFERROR(SUMIF(簡易陰圧装置!$C$30:$C$74,B26,簡易陰圧装置!$K$30:$K$74)*((簡易陰圧装置!$H$3-簡易陰圧装置!$I$3)/簡易陰圧装置!$H$3),0)</f>
        <v>0</v>
      </c>
      <c r="J26" s="306">
        <f t="shared" si="6"/>
        <v>0</v>
      </c>
      <c r="K26" s="305">
        <f>IFERROR(SUMIF(簡易ベッド!$C$30:$C$74,B26,簡易ベッド!$K$30:$K$74)*((簡易ベッド!$H$3-簡易ベッド!$I$3)/簡易ベッド!$H$3),0)</f>
        <v>0</v>
      </c>
      <c r="L26" s="306">
        <f t="shared" si="7"/>
        <v>0</v>
      </c>
      <c r="M26" s="305">
        <f>IFERROR(SUMIF(体外式膜型人工肺!$C$30:$C$74,B26,体外式膜型人工肺!$K$30:$K$74)*((体外式膜型人工肺!$H$3-体外式膜型人工肺!$I$3)/体外式膜型人工肺!$H$3),0)</f>
        <v>0</v>
      </c>
      <c r="N26" s="306">
        <f t="shared" si="8"/>
        <v>0</v>
      </c>
      <c r="O26" s="306">
        <f t="shared" si="9"/>
        <v>0</v>
      </c>
      <c r="P26" s="306">
        <f t="shared" si="10"/>
        <v>0</v>
      </c>
      <c r="Q26" s="305">
        <f>IFERROR(SUMIF(紫外線照射装置!$C$30:$C$74,B26,紫外線照射装置!$K$30:$K$74)*((紫外線照射装置!$H$3-紫外線照射装置!$I$3)/紫外線照射装置!$H$3),0)</f>
        <v>0</v>
      </c>
      <c r="R26" s="306">
        <f t="shared" si="11"/>
        <v>0</v>
      </c>
      <c r="S26" s="419">
        <f t="shared" si="12"/>
        <v>0</v>
      </c>
      <c r="T26" s="305">
        <f>IFERROR(SUMIF(超音波画像診断装置!$C$30:$C$74,B26,超音波画像診断装置!$K$30:$K$74)*((超音波画像診断装置!$H$3-超音波画像診断装置!$I$3)/超音波画像診断装置!$H$3),0)</f>
        <v>0</v>
      </c>
      <c r="U26" s="306">
        <f t="shared" si="13"/>
        <v>0</v>
      </c>
      <c r="V26" s="305">
        <f>IFERROR(SUMIF(血液浄化装置!$C$30:$C$74,B26,血液浄化装置!$K$30:$K$74)*((血液浄化装置!$H$3-血液浄化装置!$I$3)/血液浄化装置!$H$3),0)</f>
        <v>0</v>
      </c>
      <c r="W26" s="306">
        <f t="shared" si="14"/>
        <v>0</v>
      </c>
      <c r="X26" s="305">
        <f>IFERROR(SUMIF(気管支鏡!$C$30:$C$74,B26,気管支鏡!$K$30:$K$74)*((気管支鏡!$H$3-気管支鏡!$I$3)/気管支鏡!$H$3),0)</f>
        <v>0</v>
      </c>
      <c r="Y26" s="306">
        <f t="shared" si="0"/>
        <v>0</v>
      </c>
      <c r="Z26" s="305">
        <f>IFERROR(SUMIF(CT撮影装置!$C$30:$C$74,B26,CT撮影装置!$K$30:$K$74)*((CT撮影装置!$H$3-CT撮影装置!$I$3)/CT撮影装置!$H$3),0)</f>
        <v>0</v>
      </c>
      <c r="AA26" s="306">
        <f t="shared" si="15"/>
        <v>0</v>
      </c>
      <c r="AB26" s="305">
        <f>IFERROR(SUMIF(生体情報モニタ!$C$30:$C$74,B26,生体情報モニタ!$K$30:$K$74)*((生体情報モニタ!$H$3-生体情報モニタ!$I$3)/生体情報モニタ!$H$3),0)</f>
        <v>0</v>
      </c>
      <c r="AC26" s="306">
        <f t="shared" si="1"/>
        <v>0</v>
      </c>
      <c r="AD26" s="305">
        <f>IFERROR(SUMIF(分娩監視装置!$C$30:$C$74,B26,分娩監視装置!$K$30:$K$74)*((分娩監視装置!$H$3-分娩監視装置!$I$3)/分娩監視装置!$H$3),0)</f>
        <v>0</v>
      </c>
      <c r="AE26" s="306">
        <f t="shared" si="16"/>
        <v>0</v>
      </c>
      <c r="AF26" s="305">
        <f>IFERROR(SUMIF(新生児モニタ!$C$30:$C$74,B26,新生児モニタ!$K$30:$K$74)*((新生児モニタ!$H$3-新生児モニタ!$I$3)/新生児モニタ!$H$3),0)</f>
        <v>0</v>
      </c>
      <c r="AG26" s="306">
        <f t="shared" si="17"/>
        <v>0</v>
      </c>
    </row>
    <row r="27" spans="2:33">
      <c r="B27" s="283" t="s">
        <v>840</v>
      </c>
      <c r="C27" s="305">
        <f>IFERROR(SUMIF(初度設備!$C$30:$C$74,B27,初度設備!$K$30:$K$74)*((初度設備!$H$3-初度設備!$I$3)/初度設備!$H$3),0)</f>
        <v>0</v>
      </c>
      <c r="D27" s="306">
        <f t="shared" si="2"/>
        <v>0</v>
      </c>
      <c r="E27" s="305">
        <f>IFERROR(SUMIF(人工呼吸器!$C$30:$C$74,B27,人工呼吸器!$K$30:$K$74)*((人工呼吸器!$H$3-人工呼吸器!$I$3)/人工呼吸器!$H$3),0)</f>
        <v>0</v>
      </c>
      <c r="F27" s="306">
        <f t="shared" si="3"/>
        <v>0</v>
      </c>
      <c r="G27" s="306">
        <f t="shared" si="4"/>
        <v>0</v>
      </c>
      <c r="H27" s="306">
        <f t="shared" si="5"/>
        <v>0</v>
      </c>
      <c r="I27" s="305">
        <f>IFERROR(SUMIF(簡易陰圧装置!$C$30:$C$74,B27,簡易陰圧装置!$K$30:$K$74)*((簡易陰圧装置!$H$3-簡易陰圧装置!$I$3)/簡易陰圧装置!$H$3),0)</f>
        <v>0</v>
      </c>
      <c r="J27" s="306">
        <f t="shared" si="6"/>
        <v>0</v>
      </c>
      <c r="K27" s="305">
        <f>IFERROR(SUMIF(簡易ベッド!$C$30:$C$74,B27,簡易ベッド!$K$30:$K$74)*((簡易ベッド!$H$3-簡易ベッド!$I$3)/簡易ベッド!$H$3),0)</f>
        <v>0</v>
      </c>
      <c r="L27" s="306">
        <f t="shared" si="7"/>
        <v>0</v>
      </c>
      <c r="M27" s="305">
        <f>IFERROR(SUMIF(体外式膜型人工肺!$C$30:$C$74,B27,体外式膜型人工肺!$K$30:$K$74)*((体外式膜型人工肺!$H$3-体外式膜型人工肺!$I$3)/体外式膜型人工肺!$H$3),0)</f>
        <v>0</v>
      </c>
      <c r="N27" s="306">
        <f t="shared" si="8"/>
        <v>0</v>
      </c>
      <c r="O27" s="306">
        <f t="shared" si="9"/>
        <v>0</v>
      </c>
      <c r="P27" s="306">
        <f t="shared" si="10"/>
        <v>0</v>
      </c>
      <c r="Q27" s="305">
        <f>IFERROR(SUMIF(紫外線照射装置!$C$30:$C$74,B27,紫外線照射装置!$K$30:$K$74)*((紫外線照射装置!$H$3-紫外線照射装置!$I$3)/紫外線照射装置!$H$3),0)</f>
        <v>0</v>
      </c>
      <c r="R27" s="306">
        <f t="shared" si="11"/>
        <v>0</v>
      </c>
      <c r="S27" s="419">
        <f t="shared" si="12"/>
        <v>0</v>
      </c>
      <c r="T27" s="305">
        <f>IFERROR(SUMIF(超音波画像診断装置!$C$30:$C$74,B27,超音波画像診断装置!$K$30:$K$74)*((超音波画像診断装置!$H$3-超音波画像診断装置!$I$3)/超音波画像診断装置!$H$3),0)</f>
        <v>0</v>
      </c>
      <c r="U27" s="306">
        <f t="shared" si="13"/>
        <v>0</v>
      </c>
      <c r="V27" s="305">
        <f>IFERROR(SUMIF(血液浄化装置!$C$30:$C$74,B27,血液浄化装置!$K$30:$K$74)*((血液浄化装置!$H$3-血液浄化装置!$I$3)/血液浄化装置!$H$3),0)</f>
        <v>0</v>
      </c>
      <c r="W27" s="306">
        <f t="shared" si="14"/>
        <v>0</v>
      </c>
      <c r="X27" s="305">
        <f>IFERROR(SUMIF(気管支鏡!$C$30:$C$74,B27,気管支鏡!$K$30:$K$74)*((気管支鏡!$H$3-気管支鏡!$I$3)/気管支鏡!$H$3),0)</f>
        <v>0</v>
      </c>
      <c r="Y27" s="306">
        <f t="shared" si="0"/>
        <v>0</v>
      </c>
      <c r="Z27" s="305">
        <f>IFERROR(SUMIF(CT撮影装置!$C$30:$C$74,B27,CT撮影装置!$K$30:$K$74)*((CT撮影装置!$H$3-CT撮影装置!$I$3)/CT撮影装置!$H$3),0)</f>
        <v>0</v>
      </c>
      <c r="AA27" s="306">
        <f t="shared" si="15"/>
        <v>0</v>
      </c>
      <c r="AB27" s="305">
        <f>IFERROR(SUMIF(生体情報モニタ!$C$30:$C$74,B27,生体情報モニタ!$K$30:$K$74)*((生体情報モニタ!$H$3-生体情報モニタ!$I$3)/生体情報モニタ!$H$3),0)</f>
        <v>0</v>
      </c>
      <c r="AC27" s="306">
        <f t="shared" si="1"/>
        <v>0</v>
      </c>
      <c r="AD27" s="305">
        <f>IFERROR(SUMIF(分娩監視装置!$C$30:$C$74,B27,分娩監視装置!$K$30:$K$74)*((分娩監視装置!$H$3-分娩監視装置!$I$3)/分娩監視装置!$H$3),0)</f>
        <v>0</v>
      </c>
      <c r="AE27" s="306">
        <f t="shared" si="16"/>
        <v>0</v>
      </c>
      <c r="AF27" s="305">
        <f>IFERROR(SUMIF(新生児モニタ!$C$30:$C$74,B27,新生児モニタ!$K$30:$K$74)*((新生児モニタ!$H$3-新生児モニタ!$I$3)/新生児モニタ!$H$3),0)</f>
        <v>0</v>
      </c>
      <c r="AG27" s="306">
        <f t="shared" si="17"/>
        <v>0</v>
      </c>
    </row>
    <row r="28" spans="2:33">
      <c r="B28" s="283" t="s">
        <v>841</v>
      </c>
      <c r="C28" s="305">
        <f>IFERROR(SUMIF(初度設備!$C$30:$C$74,B28,初度設備!$K$30:$K$74)*((初度設備!$H$3-初度設備!$I$3)/初度設備!$H$3),0)</f>
        <v>0</v>
      </c>
      <c r="D28" s="306">
        <f t="shared" si="2"/>
        <v>0</v>
      </c>
      <c r="E28" s="305">
        <f>IFERROR(SUMIF(人工呼吸器!$C$30:$C$74,B28,人工呼吸器!$K$30:$K$74)*((人工呼吸器!$H$3-人工呼吸器!$I$3)/人工呼吸器!$H$3),0)</f>
        <v>0</v>
      </c>
      <c r="F28" s="306">
        <f t="shared" si="3"/>
        <v>0</v>
      </c>
      <c r="G28" s="306">
        <f t="shared" si="4"/>
        <v>0</v>
      </c>
      <c r="H28" s="306">
        <f t="shared" si="5"/>
        <v>0</v>
      </c>
      <c r="I28" s="305">
        <f>IFERROR(SUMIF(簡易陰圧装置!$C$30:$C$74,B28,簡易陰圧装置!$K$30:$K$74)*((簡易陰圧装置!$H$3-簡易陰圧装置!$I$3)/簡易陰圧装置!$H$3),0)</f>
        <v>0</v>
      </c>
      <c r="J28" s="306">
        <f t="shared" si="6"/>
        <v>0</v>
      </c>
      <c r="K28" s="305">
        <f>IFERROR(SUMIF(簡易ベッド!$C$30:$C$74,B28,簡易ベッド!$K$30:$K$74)*((簡易ベッド!$H$3-簡易ベッド!$I$3)/簡易ベッド!$H$3),0)</f>
        <v>0</v>
      </c>
      <c r="L28" s="306">
        <f t="shared" si="7"/>
        <v>0</v>
      </c>
      <c r="M28" s="305">
        <f>IFERROR(SUMIF(体外式膜型人工肺!$C$30:$C$74,B28,体外式膜型人工肺!$K$30:$K$74)*((体外式膜型人工肺!$H$3-体外式膜型人工肺!$I$3)/体外式膜型人工肺!$H$3),0)</f>
        <v>0</v>
      </c>
      <c r="N28" s="306">
        <f t="shared" si="8"/>
        <v>0</v>
      </c>
      <c r="O28" s="306">
        <f t="shared" si="9"/>
        <v>0</v>
      </c>
      <c r="P28" s="306">
        <f t="shared" si="10"/>
        <v>0</v>
      </c>
      <c r="Q28" s="305">
        <f>IFERROR(SUMIF(紫外線照射装置!$C$30:$C$74,B28,紫外線照射装置!$K$30:$K$74)*((紫外線照射装置!$H$3-紫外線照射装置!$I$3)/紫外線照射装置!$H$3),0)</f>
        <v>0</v>
      </c>
      <c r="R28" s="306">
        <f t="shared" si="11"/>
        <v>0</v>
      </c>
      <c r="S28" s="419">
        <f t="shared" si="12"/>
        <v>0</v>
      </c>
      <c r="T28" s="305">
        <f>IFERROR(SUMIF(超音波画像診断装置!$C$30:$C$74,B28,超音波画像診断装置!$K$30:$K$74)*((超音波画像診断装置!$H$3-超音波画像診断装置!$I$3)/超音波画像診断装置!$H$3),0)</f>
        <v>0</v>
      </c>
      <c r="U28" s="306">
        <f t="shared" si="13"/>
        <v>0</v>
      </c>
      <c r="V28" s="305">
        <f>IFERROR(SUMIF(血液浄化装置!$C$30:$C$74,B28,血液浄化装置!$K$30:$K$74)*((血液浄化装置!$H$3-血液浄化装置!$I$3)/血液浄化装置!$H$3),0)</f>
        <v>0</v>
      </c>
      <c r="W28" s="306">
        <f t="shared" si="14"/>
        <v>0</v>
      </c>
      <c r="X28" s="305">
        <f>IFERROR(SUMIF(気管支鏡!$C$30:$C$74,B28,気管支鏡!$K$30:$K$74)*((気管支鏡!$H$3-気管支鏡!$I$3)/気管支鏡!$H$3),0)</f>
        <v>0</v>
      </c>
      <c r="Y28" s="306">
        <f t="shared" si="0"/>
        <v>0</v>
      </c>
      <c r="Z28" s="305">
        <f>IFERROR(SUMIF(CT撮影装置!$C$30:$C$74,B28,CT撮影装置!$K$30:$K$74)*((CT撮影装置!$H$3-CT撮影装置!$I$3)/CT撮影装置!$H$3),0)</f>
        <v>0</v>
      </c>
      <c r="AA28" s="306">
        <f t="shared" si="15"/>
        <v>0</v>
      </c>
      <c r="AB28" s="305">
        <f>IFERROR(SUMIF(生体情報モニタ!$C$30:$C$74,B28,生体情報モニタ!$K$30:$K$74)*((生体情報モニタ!$H$3-生体情報モニタ!$I$3)/生体情報モニタ!$H$3),0)</f>
        <v>0</v>
      </c>
      <c r="AC28" s="306">
        <f t="shared" si="1"/>
        <v>0</v>
      </c>
      <c r="AD28" s="305">
        <f>IFERROR(SUMIF(分娩監視装置!$C$30:$C$74,B28,分娩監視装置!$K$30:$K$74)*((分娩監視装置!$H$3-分娩監視装置!$I$3)/分娩監視装置!$H$3),0)</f>
        <v>0</v>
      </c>
      <c r="AE28" s="306">
        <f t="shared" si="16"/>
        <v>0</v>
      </c>
      <c r="AF28" s="305">
        <f>IFERROR(SUMIF(新生児モニタ!$C$30:$C$74,B28,新生児モニタ!$K$30:$K$74)*((新生児モニタ!$H$3-新生児モニタ!$I$3)/新生児モニタ!$H$3),0)</f>
        <v>0</v>
      </c>
      <c r="AG28" s="306">
        <f t="shared" si="17"/>
        <v>0</v>
      </c>
    </row>
    <row r="29" spans="2:33">
      <c r="B29" s="283" t="s">
        <v>842</v>
      </c>
      <c r="C29" s="305">
        <f>IFERROR(SUMIF(初度設備!$C$30:$C$74,B29,初度設備!$K$30:$K$74)*((初度設備!$H$3-初度設備!$I$3)/初度設備!$H$3),0)</f>
        <v>0</v>
      </c>
      <c r="D29" s="306">
        <f t="shared" si="2"/>
        <v>0</v>
      </c>
      <c r="E29" s="305">
        <f>IFERROR(SUMIF(人工呼吸器!$C$30:$C$74,B29,人工呼吸器!$K$30:$K$74)*((人工呼吸器!$H$3-人工呼吸器!$I$3)/人工呼吸器!$H$3),0)</f>
        <v>0</v>
      </c>
      <c r="F29" s="306">
        <f t="shared" si="3"/>
        <v>0</v>
      </c>
      <c r="G29" s="306">
        <f t="shared" si="4"/>
        <v>0</v>
      </c>
      <c r="H29" s="306">
        <f t="shared" si="5"/>
        <v>0</v>
      </c>
      <c r="I29" s="305">
        <f>IFERROR(SUMIF(簡易陰圧装置!$C$30:$C$74,B29,簡易陰圧装置!$K$30:$K$74)*((簡易陰圧装置!$H$3-簡易陰圧装置!$I$3)/簡易陰圧装置!$H$3),0)</f>
        <v>0</v>
      </c>
      <c r="J29" s="306">
        <f t="shared" si="6"/>
        <v>0</v>
      </c>
      <c r="K29" s="305">
        <f>IFERROR(SUMIF(簡易ベッド!$C$30:$C$74,B29,簡易ベッド!$K$30:$K$74)*((簡易ベッド!$H$3-簡易ベッド!$I$3)/簡易ベッド!$H$3),0)</f>
        <v>0</v>
      </c>
      <c r="L29" s="306">
        <f t="shared" si="7"/>
        <v>0</v>
      </c>
      <c r="M29" s="305">
        <f>IFERROR(SUMIF(体外式膜型人工肺!$C$30:$C$74,B29,体外式膜型人工肺!$K$30:$K$74)*((体外式膜型人工肺!$H$3-体外式膜型人工肺!$I$3)/体外式膜型人工肺!$H$3),0)</f>
        <v>0</v>
      </c>
      <c r="N29" s="306">
        <f t="shared" si="8"/>
        <v>0</v>
      </c>
      <c r="O29" s="306">
        <f t="shared" si="9"/>
        <v>0</v>
      </c>
      <c r="P29" s="306">
        <f t="shared" si="10"/>
        <v>0</v>
      </c>
      <c r="Q29" s="305">
        <f>IFERROR(SUMIF(紫外線照射装置!$C$30:$C$74,B29,紫外線照射装置!$K$30:$K$74)*((紫外線照射装置!$H$3-紫外線照射装置!$I$3)/紫外線照射装置!$H$3),0)</f>
        <v>0</v>
      </c>
      <c r="R29" s="306">
        <f t="shared" si="11"/>
        <v>0</v>
      </c>
      <c r="S29" s="419">
        <f t="shared" si="12"/>
        <v>0</v>
      </c>
      <c r="T29" s="305">
        <f>IFERROR(SUMIF(超音波画像診断装置!$C$30:$C$74,B29,超音波画像診断装置!$K$30:$K$74)*((超音波画像診断装置!$H$3-超音波画像診断装置!$I$3)/超音波画像診断装置!$H$3),0)</f>
        <v>0</v>
      </c>
      <c r="U29" s="306">
        <f t="shared" si="13"/>
        <v>0</v>
      </c>
      <c r="V29" s="305">
        <f>IFERROR(SUMIF(血液浄化装置!$C$30:$C$74,B29,血液浄化装置!$K$30:$K$74)*((血液浄化装置!$H$3-血液浄化装置!$I$3)/血液浄化装置!$H$3),0)</f>
        <v>0</v>
      </c>
      <c r="W29" s="306">
        <f t="shared" si="14"/>
        <v>0</v>
      </c>
      <c r="X29" s="305">
        <f>IFERROR(SUMIF(気管支鏡!$C$30:$C$74,B29,気管支鏡!$K$30:$K$74)*((気管支鏡!$H$3-気管支鏡!$I$3)/気管支鏡!$H$3),0)</f>
        <v>0</v>
      </c>
      <c r="Y29" s="306">
        <f t="shared" si="0"/>
        <v>0</v>
      </c>
      <c r="Z29" s="305">
        <f>IFERROR(SUMIF(CT撮影装置!$C$30:$C$74,B29,CT撮影装置!$K$30:$K$74)*((CT撮影装置!$H$3-CT撮影装置!$I$3)/CT撮影装置!$H$3),0)</f>
        <v>0</v>
      </c>
      <c r="AA29" s="306">
        <f t="shared" si="15"/>
        <v>0</v>
      </c>
      <c r="AB29" s="305">
        <f>IFERROR(SUMIF(生体情報モニタ!$C$30:$C$74,B29,生体情報モニタ!$K$30:$K$74)*((生体情報モニタ!$H$3-生体情報モニタ!$I$3)/生体情報モニタ!$H$3),0)</f>
        <v>0</v>
      </c>
      <c r="AC29" s="306">
        <f t="shared" si="1"/>
        <v>0</v>
      </c>
      <c r="AD29" s="305">
        <f>IFERROR(SUMIF(分娩監視装置!$C$30:$C$74,B29,分娩監視装置!$K$30:$K$74)*((分娩監視装置!$H$3-分娩監視装置!$I$3)/分娩監視装置!$H$3),0)</f>
        <v>0</v>
      </c>
      <c r="AE29" s="306">
        <f t="shared" si="16"/>
        <v>0</v>
      </c>
      <c r="AF29" s="305">
        <f>IFERROR(SUMIF(新生児モニタ!$C$30:$C$74,B29,新生児モニタ!$K$30:$K$74)*((新生児モニタ!$H$3-新生児モニタ!$I$3)/新生児モニタ!$H$3),0)</f>
        <v>0</v>
      </c>
      <c r="AG29" s="306">
        <f t="shared" si="17"/>
        <v>0</v>
      </c>
    </row>
    <row r="30" spans="2:33">
      <c r="B30" s="283" t="s">
        <v>843</v>
      </c>
      <c r="C30" s="305">
        <f>IFERROR(SUMIF(初度設備!$C$30:$C$74,B30,初度設備!$K$30:$K$74)*((初度設備!$H$3-初度設備!$I$3)/初度設備!$H$3),0)</f>
        <v>0</v>
      </c>
      <c r="D30" s="306">
        <f t="shared" si="2"/>
        <v>0</v>
      </c>
      <c r="E30" s="305">
        <f>IFERROR(SUMIF(人工呼吸器!$C$30:$C$74,B30,人工呼吸器!$K$30:$K$74)*((人工呼吸器!$H$3-人工呼吸器!$I$3)/人工呼吸器!$H$3),0)</f>
        <v>0</v>
      </c>
      <c r="F30" s="306">
        <f t="shared" si="3"/>
        <v>0</v>
      </c>
      <c r="G30" s="306">
        <f t="shared" si="4"/>
        <v>0</v>
      </c>
      <c r="H30" s="306">
        <f t="shared" si="5"/>
        <v>0</v>
      </c>
      <c r="I30" s="305">
        <f>IFERROR(SUMIF(簡易陰圧装置!$C$30:$C$74,B30,簡易陰圧装置!$K$30:$K$74)*((簡易陰圧装置!$H$3-簡易陰圧装置!$I$3)/簡易陰圧装置!$H$3),0)</f>
        <v>0</v>
      </c>
      <c r="J30" s="306">
        <f t="shared" si="6"/>
        <v>0</v>
      </c>
      <c r="K30" s="305">
        <f>IFERROR(SUMIF(簡易ベッド!$C$30:$C$74,B30,簡易ベッド!$K$30:$K$74)*((簡易ベッド!$H$3-簡易ベッド!$I$3)/簡易ベッド!$H$3),0)</f>
        <v>0</v>
      </c>
      <c r="L30" s="306">
        <f t="shared" si="7"/>
        <v>0</v>
      </c>
      <c r="M30" s="305">
        <f>IFERROR(SUMIF(体外式膜型人工肺!$C$30:$C$74,B30,体外式膜型人工肺!$K$30:$K$74)*((体外式膜型人工肺!$H$3-体外式膜型人工肺!$I$3)/体外式膜型人工肺!$H$3),0)</f>
        <v>0</v>
      </c>
      <c r="N30" s="306">
        <f t="shared" si="8"/>
        <v>0</v>
      </c>
      <c r="O30" s="306">
        <f t="shared" si="9"/>
        <v>0</v>
      </c>
      <c r="P30" s="306">
        <f t="shared" si="10"/>
        <v>0</v>
      </c>
      <c r="Q30" s="305">
        <f>IFERROR(SUMIF(紫外線照射装置!$C$30:$C$74,B30,紫外線照射装置!$K$30:$K$74)*((紫外線照射装置!$H$3-紫外線照射装置!$I$3)/紫外線照射装置!$H$3),0)</f>
        <v>0</v>
      </c>
      <c r="R30" s="306">
        <f t="shared" si="11"/>
        <v>0</v>
      </c>
      <c r="S30" s="419">
        <f t="shared" si="12"/>
        <v>0</v>
      </c>
      <c r="T30" s="305">
        <f>IFERROR(SUMIF(超音波画像診断装置!$C$30:$C$74,B30,超音波画像診断装置!$K$30:$K$74)*((超音波画像診断装置!$H$3-超音波画像診断装置!$I$3)/超音波画像診断装置!$H$3),0)</f>
        <v>0</v>
      </c>
      <c r="U30" s="306">
        <f t="shared" si="13"/>
        <v>0</v>
      </c>
      <c r="V30" s="305">
        <f>IFERROR(SUMIF(血液浄化装置!$C$30:$C$74,B30,血液浄化装置!$K$30:$K$74)*((血液浄化装置!$H$3-血液浄化装置!$I$3)/血液浄化装置!$H$3),0)</f>
        <v>0</v>
      </c>
      <c r="W30" s="306">
        <f t="shared" si="14"/>
        <v>0</v>
      </c>
      <c r="X30" s="305">
        <f>IFERROR(SUMIF(気管支鏡!$C$30:$C$74,B30,気管支鏡!$K$30:$K$74)*((気管支鏡!$H$3-気管支鏡!$I$3)/気管支鏡!$H$3),0)</f>
        <v>0</v>
      </c>
      <c r="Y30" s="306">
        <f t="shared" si="0"/>
        <v>0</v>
      </c>
      <c r="Z30" s="305">
        <f>IFERROR(SUMIF(CT撮影装置!$C$30:$C$74,B30,CT撮影装置!$K$30:$K$74)*((CT撮影装置!$H$3-CT撮影装置!$I$3)/CT撮影装置!$H$3),0)</f>
        <v>0</v>
      </c>
      <c r="AA30" s="306">
        <f t="shared" si="15"/>
        <v>0</v>
      </c>
      <c r="AB30" s="305">
        <f>IFERROR(SUMIF(生体情報モニタ!$C$30:$C$74,B30,生体情報モニタ!$K$30:$K$74)*((生体情報モニタ!$H$3-生体情報モニタ!$I$3)/生体情報モニタ!$H$3),0)</f>
        <v>0</v>
      </c>
      <c r="AC30" s="306">
        <f t="shared" si="1"/>
        <v>0</v>
      </c>
      <c r="AD30" s="305">
        <f>IFERROR(SUMIF(分娩監視装置!$C$30:$C$74,B30,分娩監視装置!$K$30:$K$74)*((分娩監視装置!$H$3-分娩監視装置!$I$3)/分娩監視装置!$H$3),0)</f>
        <v>0</v>
      </c>
      <c r="AE30" s="306">
        <f t="shared" si="16"/>
        <v>0</v>
      </c>
      <c r="AF30" s="305">
        <f>IFERROR(SUMIF(新生児モニタ!$C$30:$C$74,B30,新生児モニタ!$K$30:$K$74)*((新生児モニタ!$H$3-新生児モニタ!$I$3)/新生児モニタ!$H$3),0)</f>
        <v>0</v>
      </c>
      <c r="AG30" s="306">
        <f t="shared" si="17"/>
        <v>0</v>
      </c>
    </row>
    <row r="31" spans="2:33">
      <c r="B31" s="283" t="s">
        <v>844</v>
      </c>
      <c r="C31" s="305">
        <f>IFERROR(SUMIF(初度設備!$C$30:$C$74,B31,初度設備!$K$30:$K$74)*((初度設備!$H$3-初度設備!$I$3)/初度設備!$H$3),0)</f>
        <v>0</v>
      </c>
      <c r="D31" s="306">
        <f t="shared" si="2"/>
        <v>0</v>
      </c>
      <c r="E31" s="305">
        <f>IFERROR(SUMIF(人工呼吸器!$C$30:$C$74,B31,人工呼吸器!$K$30:$K$74)*((人工呼吸器!$H$3-人工呼吸器!$I$3)/人工呼吸器!$H$3),0)</f>
        <v>0</v>
      </c>
      <c r="F31" s="306">
        <f t="shared" si="3"/>
        <v>0</v>
      </c>
      <c r="G31" s="306">
        <f t="shared" si="4"/>
        <v>0</v>
      </c>
      <c r="H31" s="306">
        <f t="shared" si="5"/>
        <v>0</v>
      </c>
      <c r="I31" s="305">
        <f>IFERROR(SUMIF(簡易陰圧装置!$C$30:$C$74,B31,簡易陰圧装置!$K$30:$K$74)*((簡易陰圧装置!$H$3-簡易陰圧装置!$I$3)/簡易陰圧装置!$H$3),0)</f>
        <v>0</v>
      </c>
      <c r="J31" s="306">
        <f t="shared" si="6"/>
        <v>0</v>
      </c>
      <c r="K31" s="305">
        <f>IFERROR(SUMIF(簡易ベッド!$C$30:$C$74,B31,簡易ベッド!$K$30:$K$74)*((簡易ベッド!$H$3-簡易ベッド!$I$3)/簡易ベッド!$H$3),0)</f>
        <v>0</v>
      </c>
      <c r="L31" s="306">
        <f t="shared" si="7"/>
        <v>0</v>
      </c>
      <c r="M31" s="305">
        <f>IFERROR(SUMIF(体外式膜型人工肺!$C$30:$C$74,B31,体外式膜型人工肺!$K$30:$K$74)*((体外式膜型人工肺!$H$3-体外式膜型人工肺!$I$3)/体外式膜型人工肺!$H$3),0)</f>
        <v>0</v>
      </c>
      <c r="N31" s="306">
        <f t="shared" si="8"/>
        <v>0</v>
      </c>
      <c r="O31" s="306">
        <f t="shared" si="9"/>
        <v>0</v>
      </c>
      <c r="P31" s="306">
        <f t="shared" si="10"/>
        <v>0</v>
      </c>
      <c r="Q31" s="305">
        <f>IFERROR(SUMIF(紫外線照射装置!$C$30:$C$74,B31,紫外線照射装置!$K$30:$K$74)*((紫外線照射装置!$H$3-紫外線照射装置!$I$3)/紫外線照射装置!$H$3),0)</f>
        <v>0</v>
      </c>
      <c r="R31" s="306">
        <f t="shared" si="11"/>
        <v>0</v>
      </c>
      <c r="S31" s="419">
        <f t="shared" si="12"/>
        <v>0</v>
      </c>
      <c r="T31" s="305">
        <f>IFERROR(SUMIF(超音波画像診断装置!$C$30:$C$74,B31,超音波画像診断装置!$K$30:$K$74)*((超音波画像診断装置!$H$3-超音波画像診断装置!$I$3)/超音波画像診断装置!$H$3),0)</f>
        <v>0</v>
      </c>
      <c r="U31" s="306">
        <f t="shared" si="13"/>
        <v>0</v>
      </c>
      <c r="V31" s="305">
        <f>IFERROR(SUMIF(血液浄化装置!$C$30:$C$74,B31,血液浄化装置!$K$30:$K$74)*((血液浄化装置!$H$3-血液浄化装置!$I$3)/血液浄化装置!$H$3),0)</f>
        <v>0</v>
      </c>
      <c r="W31" s="306">
        <f t="shared" si="14"/>
        <v>0</v>
      </c>
      <c r="X31" s="305">
        <f>IFERROR(SUMIF(気管支鏡!$C$30:$C$74,B31,気管支鏡!$K$30:$K$74)*((気管支鏡!$H$3-気管支鏡!$I$3)/気管支鏡!$H$3),0)</f>
        <v>0</v>
      </c>
      <c r="Y31" s="306">
        <f t="shared" si="0"/>
        <v>0</v>
      </c>
      <c r="Z31" s="305">
        <f>IFERROR(SUMIF(CT撮影装置!$C$30:$C$74,B31,CT撮影装置!$K$30:$K$74)*((CT撮影装置!$H$3-CT撮影装置!$I$3)/CT撮影装置!$H$3),0)</f>
        <v>0</v>
      </c>
      <c r="AA31" s="306">
        <f t="shared" si="15"/>
        <v>0</v>
      </c>
      <c r="AB31" s="305">
        <f>IFERROR(SUMIF(生体情報モニタ!$C$30:$C$74,B31,生体情報モニタ!$K$30:$K$74)*((生体情報モニタ!$H$3-生体情報モニタ!$I$3)/生体情報モニタ!$H$3),0)</f>
        <v>0</v>
      </c>
      <c r="AC31" s="306">
        <f t="shared" si="1"/>
        <v>0</v>
      </c>
      <c r="AD31" s="305">
        <f>IFERROR(SUMIF(分娩監視装置!$C$30:$C$74,B31,分娩監視装置!$K$30:$K$74)*((分娩監視装置!$H$3-分娩監視装置!$I$3)/分娩監視装置!$H$3),0)</f>
        <v>0</v>
      </c>
      <c r="AE31" s="306">
        <f t="shared" si="16"/>
        <v>0</v>
      </c>
      <c r="AF31" s="305">
        <f>IFERROR(SUMIF(新生児モニタ!$C$30:$C$74,B31,新生児モニタ!$K$30:$K$74)*((新生児モニタ!$H$3-新生児モニタ!$I$3)/新生児モニタ!$H$3),0)</f>
        <v>0</v>
      </c>
      <c r="AG31" s="306">
        <f t="shared" si="17"/>
        <v>0</v>
      </c>
    </row>
    <row r="32" spans="2:33">
      <c r="B32" s="283" t="s">
        <v>845</v>
      </c>
      <c r="C32" s="305">
        <f>IFERROR(SUMIF(初度設備!$C$30:$C$74,B32,初度設備!$K$30:$K$74)*((初度設備!$H$3-初度設備!$I$3)/初度設備!$H$3),0)</f>
        <v>0</v>
      </c>
      <c r="D32" s="306">
        <f t="shared" si="2"/>
        <v>0</v>
      </c>
      <c r="E32" s="305">
        <f>IFERROR(SUMIF(人工呼吸器!$C$30:$C$74,B32,人工呼吸器!$K$30:$K$74)*((人工呼吸器!$H$3-人工呼吸器!$I$3)/人工呼吸器!$H$3),0)</f>
        <v>0</v>
      </c>
      <c r="F32" s="306">
        <f t="shared" si="3"/>
        <v>0</v>
      </c>
      <c r="G32" s="306">
        <f t="shared" si="4"/>
        <v>0</v>
      </c>
      <c r="H32" s="306">
        <f t="shared" si="5"/>
        <v>0</v>
      </c>
      <c r="I32" s="305">
        <f>IFERROR(SUMIF(簡易陰圧装置!$C$30:$C$74,B32,簡易陰圧装置!$K$30:$K$74)*((簡易陰圧装置!$H$3-簡易陰圧装置!$I$3)/簡易陰圧装置!$H$3),0)</f>
        <v>0</v>
      </c>
      <c r="J32" s="306">
        <f t="shared" si="6"/>
        <v>0</v>
      </c>
      <c r="K32" s="305">
        <f>IFERROR(SUMIF(簡易ベッド!$C$30:$C$74,B32,簡易ベッド!$K$30:$K$74)*((簡易ベッド!$H$3-簡易ベッド!$I$3)/簡易ベッド!$H$3),0)</f>
        <v>0</v>
      </c>
      <c r="L32" s="306">
        <f t="shared" si="7"/>
        <v>0</v>
      </c>
      <c r="M32" s="305">
        <f>IFERROR(SUMIF(体外式膜型人工肺!$C$30:$C$74,B32,体外式膜型人工肺!$K$30:$K$74)*((体外式膜型人工肺!$H$3-体外式膜型人工肺!$I$3)/体外式膜型人工肺!$H$3),0)</f>
        <v>0</v>
      </c>
      <c r="N32" s="306">
        <f t="shared" si="8"/>
        <v>0</v>
      </c>
      <c r="O32" s="306">
        <f t="shared" si="9"/>
        <v>0</v>
      </c>
      <c r="P32" s="306">
        <f t="shared" si="10"/>
        <v>0</v>
      </c>
      <c r="Q32" s="305">
        <f>IFERROR(SUMIF(紫外線照射装置!$C$30:$C$74,B32,紫外線照射装置!$K$30:$K$74)*((紫外線照射装置!$H$3-紫外線照射装置!$I$3)/紫外線照射装置!$H$3),0)</f>
        <v>0</v>
      </c>
      <c r="R32" s="306">
        <f t="shared" si="11"/>
        <v>0</v>
      </c>
      <c r="S32" s="419">
        <f t="shared" si="12"/>
        <v>0</v>
      </c>
      <c r="T32" s="305">
        <f>IFERROR(SUMIF(超音波画像診断装置!$C$30:$C$74,B32,超音波画像診断装置!$K$30:$K$74)*((超音波画像診断装置!$H$3-超音波画像診断装置!$I$3)/超音波画像診断装置!$H$3),0)</f>
        <v>0</v>
      </c>
      <c r="U32" s="306">
        <f t="shared" si="13"/>
        <v>0</v>
      </c>
      <c r="V32" s="305">
        <f>IFERROR(SUMIF(血液浄化装置!$C$30:$C$74,B32,血液浄化装置!$K$30:$K$74)*((血液浄化装置!$H$3-血液浄化装置!$I$3)/血液浄化装置!$H$3),0)</f>
        <v>0</v>
      </c>
      <c r="W32" s="306">
        <f t="shared" si="14"/>
        <v>0</v>
      </c>
      <c r="X32" s="305">
        <f>IFERROR(SUMIF(気管支鏡!$C$30:$C$74,B32,気管支鏡!$K$30:$K$74)*((気管支鏡!$H$3-気管支鏡!$I$3)/気管支鏡!$H$3),0)</f>
        <v>0</v>
      </c>
      <c r="Y32" s="306">
        <f t="shared" si="0"/>
        <v>0</v>
      </c>
      <c r="Z32" s="305">
        <f>IFERROR(SUMIF(CT撮影装置!$C$30:$C$74,B32,CT撮影装置!$K$30:$K$74)*((CT撮影装置!$H$3-CT撮影装置!$I$3)/CT撮影装置!$H$3),0)</f>
        <v>0</v>
      </c>
      <c r="AA32" s="306">
        <f t="shared" si="15"/>
        <v>0</v>
      </c>
      <c r="AB32" s="305">
        <f>IFERROR(SUMIF(生体情報モニタ!$C$30:$C$74,B32,生体情報モニタ!$K$30:$K$74)*((生体情報モニタ!$H$3-生体情報モニタ!$I$3)/生体情報モニタ!$H$3),0)</f>
        <v>0</v>
      </c>
      <c r="AC32" s="306">
        <f t="shared" si="1"/>
        <v>0</v>
      </c>
      <c r="AD32" s="305">
        <f>IFERROR(SUMIF(分娩監視装置!$C$30:$C$74,B32,分娩監視装置!$K$30:$K$74)*((分娩監視装置!$H$3-分娩監視装置!$I$3)/分娩監視装置!$H$3),0)</f>
        <v>0</v>
      </c>
      <c r="AE32" s="306">
        <f t="shared" si="16"/>
        <v>0</v>
      </c>
      <c r="AF32" s="305">
        <f>IFERROR(SUMIF(新生児モニタ!$C$30:$C$74,B32,新生児モニタ!$K$30:$K$74)*((新生児モニタ!$H$3-新生児モニタ!$I$3)/新生児モニタ!$H$3),0)</f>
        <v>0</v>
      </c>
      <c r="AG32" s="306">
        <f t="shared" si="17"/>
        <v>0</v>
      </c>
    </row>
    <row r="33" spans="2:33">
      <c r="B33" s="283" t="s">
        <v>846</v>
      </c>
      <c r="C33" s="305">
        <f>IFERROR(SUMIF(初度設備!$C$30:$C$74,B33,初度設備!$K$30:$K$74)*((初度設備!$H$3-初度設備!$I$3)/初度設備!$H$3),0)</f>
        <v>0</v>
      </c>
      <c r="D33" s="306">
        <f t="shared" si="2"/>
        <v>0</v>
      </c>
      <c r="E33" s="305">
        <f>IFERROR(SUMIF(人工呼吸器!$C$30:$C$74,B33,人工呼吸器!$K$30:$K$74)*((人工呼吸器!$H$3-人工呼吸器!$I$3)/人工呼吸器!$H$3),0)</f>
        <v>0</v>
      </c>
      <c r="F33" s="306">
        <f t="shared" si="3"/>
        <v>0</v>
      </c>
      <c r="G33" s="306">
        <f t="shared" si="4"/>
        <v>0</v>
      </c>
      <c r="H33" s="306">
        <f t="shared" si="5"/>
        <v>0</v>
      </c>
      <c r="I33" s="305">
        <f>IFERROR(SUMIF(簡易陰圧装置!$C$30:$C$74,B33,簡易陰圧装置!$K$30:$K$74)*((簡易陰圧装置!$H$3-簡易陰圧装置!$I$3)/簡易陰圧装置!$H$3),0)</f>
        <v>0</v>
      </c>
      <c r="J33" s="306">
        <f t="shared" si="6"/>
        <v>0</v>
      </c>
      <c r="K33" s="305">
        <f>IFERROR(SUMIF(簡易ベッド!$C$30:$C$74,B33,簡易ベッド!$K$30:$K$74)*((簡易ベッド!$H$3-簡易ベッド!$I$3)/簡易ベッド!$H$3),0)</f>
        <v>0</v>
      </c>
      <c r="L33" s="306">
        <f t="shared" si="7"/>
        <v>0</v>
      </c>
      <c r="M33" s="305">
        <f>IFERROR(SUMIF(体外式膜型人工肺!$C$30:$C$74,B33,体外式膜型人工肺!$K$30:$K$74)*((体外式膜型人工肺!$H$3-体外式膜型人工肺!$I$3)/体外式膜型人工肺!$H$3),0)</f>
        <v>0</v>
      </c>
      <c r="N33" s="306">
        <f t="shared" si="8"/>
        <v>0</v>
      </c>
      <c r="O33" s="306">
        <f t="shared" si="9"/>
        <v>0</v>
      </c>
      <c r="P33" s="306">
        <f t="shared" si="10"/>
        <v>0</v>
      </c>
      <c r="Q33" s="305">
        <f>IFERROR(SUMIF(紫外線照射装置!$C$30:$C$74,B33,紫外線照射装置!$K$30:$K$74)*((紫外線照射装置!$H$3-紫外線照射装置!$I$3)/紫外線照射装置!$H$3),0)</f>
        <v>0</v>
      </c>
      <c r="R33" s="306">
        <f t="shared" si="11"/>
        <v>0</v>
      </c>
      <c r="S33" s="419">
        <f t="shared" si="12"/>
        <v>0</v>
      </c>
      <c r="T33" s="305">
        <f>IFERROR(SUMIF(超音波画像診断装置!$C$30:$C$74,B33,超音波画像診断装置!$K$30:$K$74)*((超音波画像診断装置!$H$3-超音波画像診断装置!$I$3)/超音波画像診断装置!$H$3),0)</f>
        <v>0</v>
      </c>
      <c r="U33" s="306">
        <f t="shared" si="13"/>
        <v>0</v>
      </c>
      <c r="V33" s="305">
        <f>IFERROR(SUMIF(血液浄化装置!$C$30:$C$74,B33,血液浄化装置!$K$30:$K$74)*((血液浄化装置!$H$3-血液浄化装置!$I$3)/血液浄化装置!$H$3),0)</f>
        <v>0</v>
      </c>
      <c r="W33" s="306">
        <f t="shared" si="14"/>
        <v>0</v>
      </c>
      <c r="X33" s="305">
        <f>IFERROR(SUMIF(気管支鏡!$C$30:$C$74,B33,気管支鏡!$K$30:$K$74)*((気管支鏡!$H$3-気管支鏡!$I$3)/気管支鏡!$H$3),0)</f>
        <v>0</v>
      </c>
      <c r="Y33" s="306">
        <f t="shared" si="0"/>
        <v>0</v>
      </c>
      <c r="Z33" s="305">
        <f>IFERROR(SUMIF(CT撮影装置!$C$30:$C$74,B33,CT撮影装置!$K$30:$K$74)*((CT撮影装置!$H$3-CT撮影装置!$I$3)/CT撮影装置!$H$3),0)</f>
        <v>0</v>
      </c>
      <c r="AA33" s="306">
        <f t="shared" si="15"/>
        <v>0</v>
      </c>
      <c r="AB33" s="305">
        <f>IFERROR(SUMIF(生体情報モニタ!$C$30:$C$74,B33,生体情報モニタ!$K$30:$K$74)*((生体情報モニタ!$H$3-生体情報モニタ!$I$3)/生体情報モニタ!$H$3),0)</f>
        <v>0</v>
      </c>
      <c r="AC33" s="306">
        <f t="shared" si="1"/>
        <v>0</v>
      </c>
      <c r="AD33" s="305">
        <f>IFERROR(SUMIF(分娩監視装置!$C$30:$C$74,B33,分娩監視装置!$K$30:$K$74)*((分娩監視装置!$H$3-分娩監視装置!$I$3)/分娩監視装置!$H$3),0)</f>
        <v>0</v>
      </c>
      <c r="AE33" s="306">
        <f t="shared" si="16"/>
        <v>0</v>
      </c>
      <c r="AF33" s="305">
        <f>IFERROR(SUMIF(新生児モニタ!$C$30:$C$74,B33,新生児モニタ!$K$30:$K$74)*((新生児モニタ!$H$3-新生児モニタ!$I$3)/新生児モニタ!$H$3),0)</f>
        <v>0</v>
      </c>
      <c r="AG33" s="306">
        <f t="shared" si="17"/>
        <v>0</v>
      </c>
    </row>
    <row r="34" spans="2:33">
      <c r="B34" s="283" t="s">
        <v>847</v>
      </c>
      <c r="C34" s="305">
        <f>IFERROR(SUMIF(初度設備!$C$30:$C$74,B34,初度設備!$K$30:$K$74)*((初度設備!$H$3-初度設備!$I$3)/初度設備!$H$3),0)</f>
        <v>0</v>
      </c>
      <c r="D34" s="306">
        <f t="shared" si="2"/>
        <v>0</v>
      </c>
      <c r="E34" s="305">
        <f>IFERROR(SUMIF(人工呼吸器!$C$30:$C$74,B34,人工呼吸器!$K$30:$K$74)*((人工呼吸器!$H$3-人工呼吸器!$I$3)/人工呼吸器!$H$3),0)</f>
        <v>0</v>
      </c>
      <c r="F34" s="306">
        <f t="shared" si="3"/>
        <v>0</v>
      </c>
      <c r="G34" s="306">
        <f t="shared" si="4"/>
        <v>0</v>
      </c>
      <c r="H34" s="306">
        <f t="shared" si="5"/>
        <v>0</v>
      </c>
      <c r="I34" s="305">
        <f>IFERROR(SUMIF(簡易陰圧装置!$C$30:$C$74,B34,簡易陰圧装置!$K$30:$K$74)*((簡易陰圧装置!$H$3-簡易陰圧装置!$I$3)/簡易陰圧装置!$H$3),0)</f>
        <v>0</v>
      </c>
      <c r="J34" s="306">
        <f t="shared" si="6"/>
        <v>0</v>
      </c>
      <c r="K34" s="305">
        <f>IFERROR(SUMIF(簡易ベッド!$C$30:$C$74,B34,簡易ベッド!$K$30:$K$74)*((簡易ベッド!$H$3-簡易ベッド!$I$3)/簡易ベッド!$H$3),0)</f>
        <v>0</v>
      </c>
      <c r="L34" s="306">
        <f t="shared" si="7"/>
        <v>0</v>
      </c>
      <c r="M34" s="305">
        <f>IFERROR(SUMIF(体外式膜型人工肺!$C$30:$C$74,B34,体外式膜型人工肺!$K$30:$K$74)*((体外式膜型人工肺!$H$3-体外式膜型人工肺!$I$3)/体外式膜型人工肺!$H$3),0)</f>
        <v>0</v>
      </c>
      <c r="N34" s="306">
        <f t="shared" si="8"/>
        <v>0</v>
      </c>
      <c r="O34" s="306">
        <f t="shared" si="9"/>
        <v>0</v>
      </c>
      <c r="P34" s="306">
        <f t="shared" si="10"/>
        <v>0</v>
      </c>
      <c r="Q34" s="305">
        <f>IFERROR(SUMIF(紫外線照射装置!$C$30:$C$74,B34,紫外線照射装置!$K$30:$K$74)*((紫外線照射装置!$H$3-紫外線照射装置!$I$3)/紫外線照射装置!$H$3),0)</f>
        <v>0</v>
      </c>
      <c r="R34" s="306">
        <f t="shared" si="11"/>
        <v>0</v>
      </c>
      <c r="S34" s="419">
        <f t="shared" si="12"/>
        <v>0</v>
      </c>
      <c r="T34" s="305">
        <f>IFERROR(SUMIF(超音波画像診断装置!$C$30:$C$74,B34,超音波画像診断装置!$K$30:$K$74)*((超音波画像診断装置!$H$3-超音波画像診断装置!$I$3)/超音波画像診断装置!$H$3),0)</f>
        <v>0</v>
      </c>
      <c r="U34" s="306">
        <f t="shared" si="13"/>
        <v>0</v>
      </c>
      <c r="V34" s="305">
        <f>IFERROR(SUMIF(血液浄化装置!$C$30:$C$74,B34,血液浄化装置!$K$30:$K$74)*((血液浄化装置!$H$3-血液浄化装置!$I$3)/血液浄化装置!$H$3),0)</f>
        <v>0</v>
      </c>
      <c r="W34" s="306">
        <f t="shared" si="14"/>
        <v>0</v>
      </c>
      <c r="X34" s="305">
        <f>IFERROR(SUMIF(気管支鏡!$C$30:$C$74,B34,気管支鏡!$K$30:$K$74)*((気管支鏡!$H$3-気管支鏡!$I$3)/気管支鏡!$H$3),0)</f>
        <v>0</v>
      </c>
      <c r="Y34" s="306">
        <f t="shared" si="0"/>
        <v>0</v>
      </c>
      <c r="Z34" s="305">
        <f>IFERROR(SUMIF(CT撮影装置!$C$30:$C$74,B34,CT撮影装置!$K$30:$K$74)*((CT撮影装置!$H$3-CT撮影装置!$I$3)/CT撮影装置!$H$3),0)</f>
        <v>0</v>
      </c>
      <c r="AA34" s="306">
        <f t="shared" si="15"/>
        <v>0</v>
      </c>
      <c r="AB34" s="305">
        <f>IFERROR(SUMIF(生体情報モニタ!$C$30:$C$74,B34,生体情報モニタ!$K$30:$K$74)*((生体情報モニタ!$H$3-生体情報モニタ!$I$3)/生体情報モニタ!$H$3),0)</f>
        <v>0</v>
      </c>
      <c r="AC34" s="306">
        <f t="shared" si="1"/>
        <v>0</v>
      </c>
      <c r="AD34" s="305">
        <f>IFERROR(SUMIF(分娩監視装置!$C$30:$C$74,B34,分娩監視装置!$K$30:$K$74)*((分娩監視装置!$H$3-分娩監視装置!$I$3)/分娩監視装置!$H$3),0)</f>
        <v>0</v>
      </c>
      <c r="AE34" s="306">
        <f t="shared" si="16"/>
        <v>0</v>
      </c>
      <c r="AF34" s="305">
        <f>IFERROR(SUMIF(新生児モニタ!$C$30:$C$74,B34,新生児モニタ!$K$30:$K$74)*((新生児モニタ!$H$3-新生児モニタ!$I$3)/新生児モニタ!$H$3),0)</f>
        <v>0</v>
      </c>
      <c r="AG34" s="306">
        <f t="shared" si="17"/>
        <v>0</v>
      </c>
    </row>
    <row r="35" spans="2:33">
      <c r="B35" s="283" t="s">
        <v>848</v>
      </c>
      <c r="C35" s="305">
        <f>IFERROR(SUMIF(初度設備!$C$30:$C$74,B35,初度設備!$K$30:$K$74)*((初度設備!$H$3-初度設備!$I$3)/初度設備!$H$3),0)</f>
        <v>0</v>
      </c>
      <c r="D35" s="306">
        <f t="shared" si="2"/>
        <v>0</v>
      </c>
      <c r="E35" s="305">
        <f>IFERROR(SUMIF(人工呼吸器!$C$30:$C$74,B35,人工呼吸器!$K$30:$K$74)*((人工呼吸器!$H$3-人工呼吸器!$I$3)/人工呼吸器!$H$3),0)</f>
        <v>0</v>
      </c>
      <c r="F35" s="306">
        <f t="shared" si="3"/>
        <v>0</v>
      </c>
      <c r="G35" s="306">
        <f t="shared" si="4"/>
        <v>0</v>
      </c>
      <c r="H35" s="306">
        <f t="shared" si="5"/>
        <v>0</v>
      </c>
      <c r="I35" s="305">
        <f>IFERROR(SUMIF(簡易陰圧装置!$C$30:$C$74,B35,簡易陰圧装置!$K$30:$K$74)*((簡易陰圧装置!$H$3-簡易陰圧装置!$I$3)/簡易陰圧装置!$H$3),0)</f>
        <v>0</v>
      </c>
      <c r="J35" s="306">
        <f t="shared" si="6"/>
        <v>0</v>
      </c>
      <c r="K35" s="305">
        <f>IFERROR(SUMIF(簡易ベッド!$C$30:$C$74,B35,簡易ベッド!$K$30:$K$74)*((簡易ベッド!$H$3-簡易ベッド!$I$3)/簡易ベッド!$H$3),0)</f>
        <v>0</v>
      </c>
      <c r="L35" s="306">
        <f t="shared" si="7"/>
        <v>0</v>
      </c>
      <c r="M35" s="305">
        <f>IFERROR(SUMIF(体外式膜型人工肺!$C$30:$C$74,B35,体外式膜型人工肺!$K$30:$K$74)*((体外式膜型人工肺!$H$3-体外式膜型人工肺!$I$3)/体外式膜型人工肺!$H$3),0)</f>
        <v>0</v>
      </c>
      <c r="N35" s="306">
        <f t="shared" si="8"/>
        <v>0</v>
      </c>
      <c r="O35" s="306">
        <f t="shared" si="9"/>
        <v>0</v>
      </c>
      <c r="P35" s="306">
        <f t="shared" si="10"/>
        <v>0</v>
      </c>
      <c r="Q35" s="305">
        <f>IFERROR(SUMIF(紫外線照射装置!$C$30:$C$74,B35,紫外線照射装置!$K$30:$K$74)*((紫外線照射装置!$H$3-紫外線照射装置!$I$3)/紫外線照射装置!$H$3),0)</f>
        <v>0</v>
      </c>
      <c r="R35" s="306">
        <f t="shared" si="11"/>
        <v>0</v>
      </c>
      <c r="S35" s="419">
        <f t="shared" si="12"/>
        <v>0</v>
      </c>
      <c r="T35" s="305">
        <f>IFERROR(SUMIF(超音波画像診断装置!$C$30:$C$74,B35,超音波画像診断装置!$K$30:$K$74)*((超音波画像診断装置!$H$3-超音波画像診断装置!$I$3)/超音波画像診断装置!$H$3),0)</f>
        <v>0</v>
      </c>
      <c r="U35" s="306">
        <f t="shared" si="13"/>
        <v>0</v>
      </c>
      <c r="V35" s="305">
        <f>IFERROR(SUMIF(血液浄化装置!$C$30:$C$74,B35,血液浄化装置!$K$30:$K$74)*((血液浄化装置!$H$3-血液浄化装置!$I$3)/血液浄化装置!$H$3),0)</f>
        <v>0</v>
      </c>
      <c r="W35" s="306">
        <f t="shared" si="14"/>
        <v>0</v>
      </c>
      <c r="X35" s="305">
        <f>IFERROR(SUMIF(気管支鏡!$C$30:$C$74,B35,気管支鏡!$K$30:$K$74)*((気管支鏡!$H$3-気管支鏡!$I$3)/気管支鏡!$H$3),0)</f>
        <v>0</v>
      </c>
      <c r="Y35" s="306">
        <f t="shared" si="0"/>
        <v>0</v>
      </c>
      <c r="Z35" s="305">
        <f>IFERROR(SUMIF(CT撮影装置!$C$30:$C$74,B35,CT撮影装置!$K$30:$K$74)*((CT撮影装置!$H$3-CT撮影装置!$I$3)/CT撮影装置!$H$3),0)</f>
        <v>0</v>
      </c>
      <c r="AA35" s="306">
        <f t="shared" si="15"/>
        <v>0</v>
      </c>
      <c r="AB35" s="305">
        <f>IFERROR(SUMIF(生体情報モニタ!$C$30:$C$74,B35,生体情報モニタ!$K$30:$K$74)*((生体情報モニタ!$H$3-生体情報モニタ!$I$3)/生体情報モニタ!$H$3),0)</f>
        <v>0</v>
      </c>
      <c r="AC35" s="306">
        <f t="shared" si="1"/>
        <v>0</v>
      </c>
      <c r="AD35" s="305">
        <f>IFERROR(SUMIF(分娩監視装置!$C$30:$C$74,B35,分娩監視装置!$K$30:$K$74)*((分娩監視装置!$H$3-分娩監視装置!$I$3)/分娩監視装置!$H$3),0)</f>
        <v>0</v>
      </c>
      <c r="AE35" s="306">
        <f t="shared" si="16"/>
        <v>0</v>
      </c>
      <c r="AF35" s="305">
        <f>IFERROR(SUMIF(新生児モニタ!$C$30:$C$74,B35,新生児モニタ!$K$30:$K$74)*((新生児モニタ!$H$3-新生児モニタ!$I$3)/新生児モニタ!$H$3),0)</f>
        <v>0</v>
      </c>
      <c r="AG35" s="306">
        <f t="shared" si="17"/>
        <v>0</v>
      </c>
    </row>
    <row r="36" spans="2:33">
      <c r="B36" s="283" t="s">
        <v>849</v>
      </c>
      <c r="C36" s="305">
        <f>IFERROR(SUMIF(初度設備!$C$30:$C$74,B36,初度設備!$K$30:$K$74)*((初度設備!$H$3-初度設備!$I$3)/初度設備!$H$3),0)</f>
        <v>0</v>
      </c>
      <c r="D36" s="306">
        <f t="shared" si="2"/>
        <v>0</v>
      </c>
      <c r="E36" s="305">
        <f>IFERROR(SUMIF(人工呼吸器!$C$30:$C$74,B36,人工呼吸器!$K$30:$K$74)*((人工呼吸器!$H$3-人工呼吸器!$I$3)/人工呼吸器!$H$3),0)</f>
        <v>0</v>
      </c>
      <c r="F36" s="306">
        <f t="shared" si="3"/>
        <v>0</v>
      </c>
      <c r="G36" s="306">
        <f t="shared" si="4"/>
        <v>0</v>
      </c>
      <c r="H36" s="306">
        <f t="shared" si="5"/>
        <v>0</v>
      </c>
      <c r="I36" s="305">
        <f>IFERROR(SUMIF(簡易陰圧装置!$C$30:$C$74,B36,簡易陰圧装置!$K$30:$K$74)*((簡易陰圧装置!$H$3-簡易陰圧装置!$I$3)/簡易陰圧装置!$H$3),0)</f>
        <v>0</v>
      </c>
      <c r="J36" s="306">
        <f t="shared" si="6"/>
        <v>0</v>
      </c>
      <c r="K36" s="305">
        <f>IFERROR(SUMIF(簡易ベッド!$C$30:$C$74,B36,簡易ベッド!$K$30:$K$74)*((簡易ベッド!$H$3-簡易ベッド!$I$3)/簡易ベッド!$H$3),0)</f>
        <v>0</v>
      </c>
      <c r="L36" s="306">
        <f t="shared" si="7"/>
        <v>0</v>
      </c>
      <c r="M36" s="305">
        <f>IFERROR(SUMIF(体外式膜型人工肺!$C$30:$C$74,B36,体外式膜型人工肺!$K$30:$K$74)*((体外式膜型人工肺!$H$3-体外式膜型人工肺!$I$3)/体外式膜型人工肺!$H$3),0)</f>
        <v>0</v>
      </c>
      <c r="N36" s="306">
        <f t="shared" si="8"/>
        <v>0</v>
      </c>
      <c r="O36" s="306">
        <f t="shared" si="9"/>
        <v>0</v>
      </c>
      <c r="P36" s="306">
        <f t="shared" si="10"/>
        <v>0</v>
      </c>
      <c r="Q36" s="305">
        <f>IFERROR(SUMIF(紫外線照射装置!$C$30:$C$74,B36,紫外線照射装置!$K$30:$K$74)*((紫外線照射装置!$H$3-紫外線照射装置!$I$3)/紫外線照射装置!$H$3),0)</f>
        <v>0</v>
      </c>
      <c r="R36" s="306">
        <f t="shared" si="11"/>
        <v>0</v>
      </c>
      <c r="S36" s="419">
        <f t="shared" si="12"/>
        <v>0</v>
      </c>
      <c r="T36" s="305">
        <f>IFERROR(SUMIF(超音波画像診断装置!$C$30:$C$74,B36,超音波画像診断装置!$K$30:$K$74)*((超音波画像診断装置!$H$3-超音波画像診断装置!$I$3)/超音波画像診断装置!$H$3),0)</f>
        <v>0</v>
      </c>
      <c r="U36" s="306">
        <f t="shared" si="13"/>
        <v>0</v>
      </c>
      <c r="V36" s="305">
        <f>IFERROR(SUMIF(血液浄化装置!$C$30:$C$74,B36,血液浄化装置!$K$30:$K$74)*((血液浄化装置!$H$3-血液浄化装置!$I$3)/血液浄化装置!$H$3),0)</f>
        <v>0</v>
      </c>
      <c r="W36" s="306">
        <f t="shared" si="14"/>
        <v>0</v>
      </c>
      <c r="X36" s="305">
        <f>IFERROR(SUMIF(気管支鏡!$C$30:$C$74,B36,気管支鏡!$K$30:$K$74)*((気管支鏡!$H$3-気管支鏡!$I$3)/気管支鏡!$H$3),0)</f>
        <v>0</v>
      </c>
      <c r="Y36" s="306">
        <f t="shared" si="0"/>
        <v>0</v>
      </c>
      <c r="Z36" s="305">
        <f>IFERROR(SUMIF(CT撮影装置!$C$30:$C$74,B36,CT撮影装置!$K$30:$K$74)*((CT撮影装置!$H$3-CT撮影装置!$I$3)/CT撮影装置!$H$3),0)</f>
        <v>0</v>
      </c>
      <c r="AA36" s="306">
        <f t="shared" si="15"/>
        <v>0</v>
      </c>
      <c r="AB36" s="305">
        <f>IFERROR(SUMIF(生体情報モニタ!$C$30:$C$74,B36,生体情報モニタ!$K$30:$K$74)*((生体情報モニタ!$H$3-生体情報モニタ!$I$3)/生体情報モニタ!$H$3),0)</f>
        <v>0</v>
      </c>
      <c r="AC36" s="306">
        <f t="shared" si="1"/>
        <v>0</v>
      </c>
      <c r="AD36" s="305">
        <f>IFERROR(SUMIF(分娩監視装置!$C$30:$C$74,B36,分娩監視装置!$K$30:$K$74)*((分娩監視装置!$H$3-分娩監視装置!$I$3)/分娩監視装置!$H$3),0)</f>
        <v>0</v>
      </c>
      <c r="AE36" s="306">
        <f t="shared" si="16"/>
        <v>0</v>
      </c>
      <c r="AF36" s="305">
        <f>IFERROR(SUMIF(新生児モニタ!$C$30:$C$74,B36,新生児モニタ!$K$30:$K$74)*((新生児モニタ!$H$3-新生児モニタ!$I$3)/新生児モニタ!$H$3),0)</f>
        <v>0</v>
      </c>
      <c r="AG36" s="306">
        <f t="shared" si="17"/>
        <v>0</v>
      </c>
    </row>
    <row r="37" spans="2:33">
      <c r="B37" s="283" t="s">
        <v>850</v>
      </c>
      <c r="C37" s="305">
        <f>IFERROR(SUMIF(初度設備!$C$30:$C$74,B37,初度設備!$K$30:$K$74)*((初度設備!$H$3-初度設備!$I$3)/初度設備!$H$3),0)</f>
        <v>0</v>
      </c>
      <c r="D37" s="306">
        <f t="shared" si="2"/>
        <v>0</v>
      </c>
      <c r="E37" s="305">
        <f>IFERROR(SUMIF(人工呼吸器!$C$30:$C$74,B37,人工呼吸器!$K$30:$K$74)*((人工呼吸器!$H$3-人工呼吸器!$I$3)/人工呼吸器!$H$3),0)</f>
        <v>0</v>
      </c>
      <c r="F37" s="306">
        <f t="shared" si="3"/>
        <v>0</v>
      </c>
      <c r="G37" s="306">
        <f t="shared" si="4"/>
        <v>0</v>
      </c>
      <c r="H37" s="306">
        <f t="shared" si="5"/>
        <v>0</v>
      </c>
      <c r="I37" s="305">
        <f>IFERROR(SUMIF(簡易陰圧装置!$C$30:$C$74,B37,簡易陰圧装置!$K$30:$K$74)*((簡易陰圧装置!$H$3-簡易陰圧装置!$I$3)/簡易陰圧装置!$H$3),0)</f>
        <v>0</v>
      </c>
      <c r="J37" s="306">
        <f t="shared" si="6"/>
        <v>0</v>
      </c>
      <c r="K37" s="305">
        <f>IFERROR(SUMIF(簡易ベッド!$C$30:$C$74,B37,簡易ベッド!$K$30:$K$74)*((簡易ベッド!$H$3-簡易ベッド!$I$3)/簡易ベッド!$H$3),0)</f>
        <v>0</v>
      </c>
      <c r="L37" s="306">
        <f t="shared" si="7"/>
        <v>0</v>
      </c>
      <c r="M37" s="305">
        <f>IFERROR(SUMIF(体外式膜型人工肺!$C$30:$C$74,B37,体外式膜型人工肺!$K$30:$K$74)*((体外式膜型人工肺!$H$3-体外式膜型人工肺!$I$3)/体外式膜型人工肺!$H$3),0)</f>
        <v>0</v>
      </c>
      <c r="N37" s="306">
        <f t="shared" si="8"/>
        <v>0</v>
      </c>
      <c r="O37" s="306">
        <f t="shared" si="9"/>
        <v>0</v>
      </c>
      <c r="P37" s="306">
        <f t="shared" si="10"/>
        <v>0</v>
      </c>
      <c r="Q37" s="305">
        <f>IFERROR(SUMIF(紫外線照射装置!$C$30:$C$74,B37,紫外線照射装置!$K$30:$K$74)*((紫外線照射装置!$H$3-紫外線照射装置!$I$3)/紫外線照射装置!$H$3),0)</f>
        <v>0</v>
      </c>
      <c r="R37" s="306">
        <f t="shared" si="11"/>
        <v>0</v>
      </c>
      <c r="S37" s="419">
        <f t="shared" si="12"/>
        <v>0</v>
      </c>
      <c r="T37" s="305">
        <f>IFERROR(SUMIF(超音波画像診断装置!$C$30:$C$74,B37,超音波画像診断装置!$K$30:$K$74)*((超音波画像診断装置!$H$3-超音波画像診断装置!$I$3)/超音波画像診断装置!$H$3),0)</f>
        <v>0</v>
      </c>
      <c r="U37" s="306">
        <f t="shared" si="13"/>
        <v>0</v>
      </c>
      <c r="V37" s="305">
        <f>IFERROR(SUMIF(血液浄化装置!$C$30:$C$74,B37,血液浄化装置!$K$30:$K$74)*((血液浄化装置!$H$3-血液浄化装置!$I$3)/血液浄化装置!$H$3),0)</f>
        <v>0</v>
      </c>
      <c r="W37" s="306">
        <f t="shared" si="14"/>
        <v>0</v>
      </c>
      <c r="X37" s="305">
        <f>IFERROR(SUMIF(気管支鏡!$C$30:$C$74,B37,気管支鏡!$K$30:$K$74)*((気管支鏡!$H$3-気管支鏡!$I$3)/気管支鏡!$H$3),0)</f>
        <v>0</v>
      </c>
      <c r="Y37" s="306">
        <f t="shared" si="0"/>
        <v>0</v>
      </c>
      <c r="Z37" s="305">
        <f>IFERROR(SUMIF(CT撮影装置!$C$30:$C$74,B37,CT撮影装置!$K$30:$K$74)*((CT撮影装置!$H$3-CT撮影装置!$I$3)/CT撮影装置!$H$3),0)</f>
        <v>0</v>
      </c>
      <c r="AA37" s="306">
        <f t="shared" si="15"/>
        <v>0</v>
      </c>
      <c r="AB37" s="305">
        <f>IFERROR(SUMIF(生体情報モニタ!$C$30:$C$74,B37,生体情報モニタ!$K$30:$K$74)*((生体情報モニタ!$H$3-生体情報モニタ!$I$3)/生体情報モニタ!$H$3),0)</f>
        <v>0</v>
      </c>
      <c r="AC37" s="306">
        <f t="shared" si="1"/>
        <v>0</v>
      </c>
      <c r="AD37" s="305">
        <f>IFERROR(SUMIF(分娩監視装置!$C$30:$C$74,B37,分娩監視装置!$K$30:$K$74)*((分娩監視装置!$H$3-分娩監視装置!$I$3)/分娩監視装置!$H$3),0)</f>
        <v>0</v>
      </c>
      <c r="AE37" s="306">
        <f t="shared" si="16"/>
        <v>0</v>
      </c>
      <c r="AF37" s="305">
        <f>IFERROR(SUMIF(新生児モニタ!$C$30:$C$74,B37,新生児モニタ!$K$30:$K$74)*((新生児モニタ!$H$3-新生児モニタ!$I$3)/新生児モニタ!$H$3),0)</f>
        <v>0</v>
      </c>
      <c r="AG37" s="306">
        <f t="shared" si="17"/>
        <v>0</v>
      </c>
    </row>
    <row r="38" spans="2:33">
      <c r="B38" s="283" t="s">
        <v>851</v>
      </c>
      <c r="C38" s="305">
        <f>IFERROR(SUMIF(初度設備!$C$30:$C$74,B38,初度設備!$K$30:$K$74)*((初度設備!$H$3-初度設備!$I$3)/初度設備!$H$3),0)</f>
        <v>0</v>
      </c>
      <c r="D38" s="306">
        <f t="shared" si="2"/>
        <v>0</v>
      </c>
      <c r="E38" s="305">
        <f>IFERROR(SUMIF(人工呼吸器!$C$30:$C$74,B38,人工呼吸器!$K$30:$K$74)*((人工呼吸器!$H$3-人工呼吸器!$I$3)/人工呼吸器!$H$3),0)</f>
        <v>0</v>
      </c>
      <c r="F38" s="306">
        <f t="shared" si="3"/>
        <v>0</v>
      </c>
      <c r="G38" s="306">
        <f t="shared" si="4"/>
        <v>0</v>
      </c>
      <c r="H38" s="306">
        <f t="shared" si="5"/>
        <v>0</v>
      </c>
      <c r="I38" s="305">
        <f>IFERROR(SUMIF(簡易陰圧装置!$C$30:$C$74,B38,簡易陰圧装置!$K$30:$K$74)*((簡易陰圧装置!$H$3-簡易陰圧装置!$I$3)/簡易陰圧装置!$H$3),0)</f>
        <v>0</v>
      </c>
      <c r="J38" s="306">
        <f t="shared" si="6"/>
        <v>0</v>
      </c>
      <c r="K38" s="305">
        <f>IFERROR(SUMIF(簡易ベッド!$C$30:$C$74,B38,簡易ベッド!$K$30:$K$74)*((簡易ベッド!$H$3-簡易ベッド!$I$3)/簡易ベッド!$H$3),0)</f>
        <v>0</v>
      </c>
      <c r="L38" s="306">
        <f t="shared" si="7"/>
        <v>0</v>
      </c>
      <c r="M38" s="305">
        <f>IFERROR(SUMIF(体外式膜型人工肺!$C$30:$C$74,B38,体外式膜型人工肺!$K$30:$K$74)*((体外式膜型人工肺!$H$3-体外式膜型人工肺!$I$3)/体外式膜型人工肺!$H$3),0)</f>
        <v>0</v>
      </c>
      <c r="N38" s="306">
        <f t="shared" si="8"/>
        <v>0</v>
      </c>
      <c r="O38" s="306">
        <f t="shared" si="9"/>
        <v>0</v>
      </c>
      <c r="P38" s="306">
        <f t="shared" si="10"/>
        <v>0</v>
      </c>
      <c r="Q38" s="305">
        <f>IFERROR(SUMIF(紫外線照射装置!$C$30:$C$74,B38,紫外線照射装置!$K$30:$K$74)*((紫外線照射装置!$H$3-紫外線照射装置!$I$3)/紫外線照射装置!$H$3),0)</f>
        <v>0</v>
      </c>
      <c r="R38" s="306">
        <f t="shared" si="11"/>
        <v>0</v>
      </c>
      <c r="S38" s="419">
        <f t="shared" si="12"/>
        <v>0</v>
      </c>
      <c r="T38" s="305">
        <f>IFERROR(SUMIF(超音波画像診断装置!$C$30:$C$74,B38,超音波画像診断装置!$K$30:$K$74)*((超音波画像診断装置!$H$3-超音波画像診断装置!$I$3)/超音波画像診断装置!$H$3),0)</f>
        <v>0</v>
      </c>
      <c r="U38" s="306">
        <f t="shared" si="13"/>
        <v>0</v>
      </c>
      <c r="V38" s="305">
        <f>IFERROR(SUMIF(血液浄化装置!$C$30:$C$74,B38,血液浄化装置!$K$30:$K$74)*((血液浄化装置!$H$3-血液浄化装置!$I$3)/血液浄化装置!$H$3),0)</f>
        <v>0</v>
      </c>
      <c r="W38" s="306">
        <f t="shared" si="14"/>
        <v>0</v>
      </c>
      <c r="X38" s="305">
        <f>IFERROR(SUMIF(気管支鏡!$C$30:$C$74,B38,気管支鏡!$K$30:$K$74)*((気管支鏡!$H$3-気管支鏡!$I$3)/気管支鏡!$H$3),0)</f>
        <v>0</v>
      </c>
      <c r="Y38" s="306">
        <f t="shared" si="0"/>
        <v>0</v>
      </c>
      <c r="Z38" s="305">
        <f>IFERROR(SUMIF(CT撮影装置!$C$30:$C$74,B38,CT撮影装置!$K$30:$K$74)*((CT撮影装置!$H$3-CT撮影装置!$I$3)/CT撮影装置!$H$3),0)</f>
        <v>0</v>
      </c>
      <c r="AA38" s="306">
        <f t="shared" si="15"/>
        <v>0</v>
      </c>
      <c r="AB38" s="305">
        <f>IFERROR(SUMIF(生体情報モニタ!$C$30:$C$74,B38,生体情報モニタ!$K$30:$K$74)*((生体情報モニタ!$H$3-生体情報モニタ!$I$3)/生体情報モニタ!$H$3),0)</f>
        <v>0</v>
      </c>
      <c r="AC38" s="306">
        <f t="shared" si="1"/>
        <v>0</v>
      </c>
      <c r="AD38" s="305">
        <f>IFERROR(SUMIF(分娩監視装置!$C$30:$C$74,B38,分娩監視装置!$K$30:$K$74)*((分娩監視装置!$H$3-分娩監視装置!$I$3)/分娩監視装置!$H$3),0)</f>
        <v>0</v>
      </c>
      <c r="AE38" s="306">
        <f t="shared" si="16"/>
        <v>0</v>
      </c>
      <c r="AF38" s="305">
        <f>IFERROR(SUMIF(新生児モニタ!$C$30:$C$74,B38,新生児モニタ!$K$30:$K$74)*((新生児モニタ!$H$3-新生児モニタ!$I$3)/新生児モニタ!$H$3),0)</f>
        <v>0</v>
      </c>
      <c r="AG38" s="306">
        <f t="shared" si="17"/>
        <v>0</v>
      </c>
    </row>
    <row r="39" spans="2:33">
      <c r="B39" s="283" t="s">
        <v>852</v>
      </c>
      <c r="C39" s="305">
        <f>IFERROR(SUMIF(初度設備!$C$30:$C$74,B39,初度設備!$K$30:$K$74)*((初度設備!$H$3-初度設備!$I$3)/初度設備!$H$3),0)</f>
        <v>0</v>
      </c>
      <c r="D39" s="306">
        <f t="shared" si="2"/>
        <v>0</v>
      </c>
      <c r="E39" s="305">
        <f>IFERROR(SUMIF(人工呼吸器!$C$30:$C$74,B39,人工呼吸器!$K$30:$K$74)*((人工呼吸器!$H$3-人工呼吸器!$I$3)/人工呼吸器!$H$3),0)</f>
        <v>0</v>
      </c>
      <c r="F39" s="306">
        <f t="shared" si="3"/>
        <v>0</v>
      </c>
      <c r="G39" s="306">
        <f t="shared" si="4"/>
        <v>0</v>
      </c>
      <c r="H39" s="306">
        <f t="shared" si="5"/>
        <v>0</v>
      </c>
      <c r="I39" s="305">
        <f>IFERROR(SUMIF(簡易陰圧装置!$C$30:$C$74,B39,簡易陰圧装置!$K$30:$K$74)*((簡易陰圧装置!$H$3-簡易陰圧装置!$I$3)/簡易陰圧装置!$H$3),0)</f>
        <v>0</v>
      </c>
      <c r="J39" s="306">
        <f t="shared" si="6"/>
        <v>0</v>
      </c>
      <c r="K39" s="305">
        <f>IFERROR(SUMIF(簡易ベッド!$C$30:$C$74,B39,簡易ベッド!$K$30:$K$74)*((簡易ベッド!$H$3-簡易ベッド!$I$3)/簡易ベッド!$H$3),0)</f>
        <v>0</v>
      </c>
      <c r="L39" s="306">
        <f t="shared" si="7"/>
        <v>0</v>
      </c>
      <c r="M39" s="305">
        <f>IFERROR(SUMIF(体外式膜型人工肺!$C$30:$C$74,B39,体外式膜型人工肺!$K$30:$K$74)*((体外式膜型人工肺!$H$3-体外式膜型人工肺!$I$3)/体外式膜型人工肺!$H$3),0)</f>
        <v>0</v>
      </c>
      <c r="N39" s="306">
        <f t="shared" si="8"/>
        <v>0</v>
      </c>
      <c r="O39" s="306">
        <f t="shared" si="9"/>
        <v>0</v>
      </c>
      <c r="P39" s="306">
        <f t="shared" si="10"/>
        <v>0</v>
      </c>
      <c r="Q39" s="305">
        <f>IFERROR(SUMIF(紫外線照射装置!$C$30:$C$74,B39,紫外線照射装置!$K$30:$K$74)*((紫外線照射装置!$H$3-紫外線照射装置!$I$3)/紫外線照射装置!$H$3),0)</f>
        <v>0</v>
      </c>
      <c r="R39" s="306">
        <f t="shared" si="11"/>
        <v>0</v>
      </c>
      <c r="S39" s="419">
        <f t="shared" si="12"/>
        <v>0</v>
      </c>
      <c r="T39" s="305">
        <f>IFERROR(SUMIF(超音波画像診断装置!$C$30:$C$74,B39,超音波画像診断装置!$K$30:$K$74)*((超音波画像診断装置!$H$3-超音波画像診断装置!$I$3)/超音波画像診断装置!$H$3),0)</f>
        <v>0</v>
      </c>
      <c r="U39" s="306">
        <f t="shared" si="13"/>
        <v>0</v>
      </c>
      <c r="V39" s="305">
        <f>IFERROR(SUMIF(血液浄化装置!$C$30:$C$74,B39,血液浄化装置!$K$30:$K$74)*((血液浄化装置!$H$3-血液浄化装置!$I$3)/血液浄化装置!$H$3),0)</f>
        <v>0</v>
      </c>
      <c r="W39" s="306">
        <f t="shared" si="14"/>
        <v>0</v>
      </c>
      <c r="X39" s="305">
        <f>IFERROR(SUMIF(気管支鏡!$C$30:$C$74,B39,気管支鏡!$K$30:$K$74)*((気管支鏡!$H$3-気管支鏡!$I$3)/気管支鏡!$H$3),0)</f>
        <v>0</v>
      </c>
      <c r="Y39" s="306">
        <f t="shared" si="0"/>
        <v>0</v>
      </c>
      <c r="Z39" s="305">
        <f>IFERROR(SUMIF(CT撮影装置!$C$30:$C$74,B39,CT撮影装置!$K$30:$K$74)*((CT撮影装置!$H$3-CT撮影装置!$I$3)/CT撮影装置!$H$3),0)</f>
        <v>0</v>
      </c>
      <c r="AA39" s="306">
        <f t="shared" si="15"/>
        <v>0</v>
      </c>
      <c r="AB39" s="305">
        <f>IFERROR(SUMIF(生体情報モニタ!$C$30:$C$74,B39,生体情報モニタ!$K$30:$K$74)*((生体情報モニタ!$H$3-生体情報モニタ!$I$3)/生体情報モニタ!$H$3),0)</f>
        <v>0</v>
      </c>
      <c r="AC39" s="306">
        <f t="shared" si="1"/>
        <v>0</v>
      </c>
      <c r="AD39" s="305">
        <f>IFERROR(SUMIF(分娩監視装置!$C$30:$C$74,B39,分娩監視装置!$K$30:$K$74)*((分娩監視装置!$H$3-分娩監視装置!$I$3)/分娩監視装置!$H$3),0)</f>
        <v>0</v>
      </c>
      <c r="AE39" s="306">
        <f t="shared" si="16"/>
        <v>0</v>
      </c>
      <c r="AF39" s="305">
        <f>IFERROR(SUMIF(新生児モニタ!$C$30:$C$74,B39,新生児モニタ!$K$30:$K$74)*((新生児モニタ!$H$3-新生児モニタ!$I$3)/新生児モニタ!$H$3),0)</f>
        <v>0</v>
      </c>
      <c r="AG39" s="306">
        <f t="shared" si="17"/>
        <v>0</v>
      </c>
    </row>
    <row r="40" spans="2:33">
      <c r="B40" s="283" t="s">
        <v>853</v>
      </c>
      <c r="C40" s="305">
        <f>IFERROR(SUMIF(初度設備!$C$30:$C$74,B40,初度設備!$K$30:$K$74)*((初度設備!$H$3-初度設備!$I$3)/初度設備!$H$3),0)</f>
        <v>0</v>
      </c>
      <c r="D40" s="306">
        <f t="shared" si="2"/>
        <v>0</v>
      </c>
      <c r="E40" s="305">
        <f>IFERROR(SUMIF(人工呼吸器!$C$30:$C$74,B40,人工呼吸器!$K$30:$K$74)*((人工呼吸器!$H$3-人工呼吸器!$I$3)/人工呼吸器!$H$3),0)</f>
        <v>0</v>
      </c>
      <c r="F40" s="306">
        <f t="shared" si="3"/>
        <v>0</v>
      </c>
      <c r="G40" s="306">
        <f t="shared" si="4"/>
        <v>0</v>
      </c>
      <c r="H40" s="306">
        <f t="shared" si="5"/>
        <v>0</v>
      </c>
      <c r="I40" s="305">
        <f>IFERROR(SUMIF(簡易陰圧装置!$C$30:$C$74,B40,簡易陰圧装置!$K$30:$K$74)*((簡易陰圧装置!$H$3-簡易陰圧装置!$I$3)/簡易陰圧装置!$H$3),0)</f>
        <v>0</v>
      </c>
      <c r="J40" s="306">
        <f t="shared" si="6"/>
        <v>0</v>
      </c>
      <c r="K40" s="305">
        <f>IFERROR(SUMIF(簡易ベッド!$C$30:$C$74,B40,簡易ベッド!$K$30:$K$74)*((簡易ベッド!$H$3-簡易ベッド!$I$3)/簡易ベッド!$H$3),0)</f>
        <v>0</v>
      </c>
      <c r="L40" s="306">
        <f t="shared" si="7"/>
        <v>0</v>
      </c>
      <c r="M40" s="305">
        <f>IFERROR(SUMIF(体外式膜型人工肺!$C$30:$C$74,B40,体外式膜型人工肺!$K$30:$K$74)*((体外式膜型人工肺!$H$3-体外式膜型人工肺!$I$3)/体外式膜型人工肺!$H$3),0)</f>
        <v>0</v>
      </c>
      <c r="N40" s="306">
        <f t="shared" si="8"/>
        <v>0</v>
      </c>
      <c r="O40" s="306">
        <f t="shared" si="9"/>
        <v>0</v>
      </c>
      <c r="P40" s="306">
        <f t="shared" si="10"/>
        <v>0</v>
      </c>
      <c r="Q40" s="305">
        <f>IFERROR(SUMIF(紫外線照射装置!$C$30:$C$74,B40,紫外線照射装置!$K$30:$K$74)*((紫外線照射装置!$H$3-紫外線照射装置!$I$3)/紫外線照射装置!$H$3),0)</f>
        <v>0</v>
      </c>
      <c r="R40" s="306">
        <f t="shared" si="11"/>
        <v>0</v>
      </c>
      <c r="S40" s="419">
        <f t="shared" si="12"/>
        <v>0</v>
      </c>
      <c r="T40" s="305">
        <f>IFERROR(SUMIF(超音波画像診断装置!$C$30:$C$74,B40,超音波画像診断装置!$K$30:$K$74)*((超音波画像診断装置!$H$3-超音波画像診断装置!$I$3)/超音波画像診断装置!$H$3),0)</f>
        <v>0</v>
      </c>
      <c r="U40" s="306">
        <f t="shared" si="13"/>
        <v>0</v>
      </c>
      <c r="V40" s="305">
        <f>IFERROR(SUMIF(血液浄化装置!$C$30:$C$74,B40,血液浄化装置!$K$30:$K$74)*((血液浄化装置!$H$3-血液浄化装置!$I$3)/血液浄化装置!$H$3),0)</f>
        <v>0</v>
      </c>
      <c r="W40" s="306">
        <f t="shared" si="14"/>
        <v>0</v>
      </c>
      <c r="X40" s="305">
        <f>IFERROR(SUMIF(気管支鏡!$C$30:$C$74,B40,気管支鏡!$K$30:$K$74)*((気管支鏡!$H$3-気管支鏡!$I$3)/気管支鏡!$H$3),0)</f>
        <v>0</v>
      </c>
      <c r="Y40" s="306">
        <f t="shared" si="0"/>
        <v>0</v>
      </c>
      <c r="Z40" s="305">
        <f>IFERROR(SUMIF(CT撮影装置!$C$30:$C$74,B40,CT撮影装置!$K$30:$K$74)*((CT撮影装置!$H$3-CT撮影装置!$I$3)/CT撮影装置!$H$3),0)</f>
        <v>0</v>
      </c>
      <c r="AA40" s="306">
        <f t="shared" si="15"/>
        <v>0</v>
      </c>
      <c r="AB40" s="305">
        <f>IFERROR(SUMIF(生体情報モニタ!$C$30:$C$74,B40,生体情報モニタ!$K$30:$K$74)*((生体情報モニタ!$H$3-生体情報モニタ!$I$3)/生体情報モニタ!$H$3),0)</f>
        <v>0</v>
      </c>
      <c r="AC40" s="306">
        <f t="shared" si="1"/>
        <v>0</v>
      </c>
      <c r="AD40" s="305">
        <f>IFERROR(SUMIF(分娩監視装置!$C$30:$C$74,B40,分娩監視装置!$K$30:$K$74)*((分娩監視装置!$H$3-分娩監視装置!$I$3)/分娩監視装置!$H$3),0)</f>
        <v>0</v>
      </c>
      <c r="AE40" s="306">
        <f t="shared" si="16"/>
        <v>0</v>
      </c>
      <c r="AF40" s="305">
        <f>IFERROR(SUMIF(新生児モニタ!$C$30:$C$74,B40,新生児モニタ!$K$30:$K$74)*((新生児モニタ!$H$3-新生児モニタ!$I$3)/新生児モニタ!$H$3),0)</f>
        <v>0</v>
      </c>
      <c r="AG40" s="306">
        <f t="shared" si="17"/>
        <v>0</v>
      </c>
    </row>
    <row r="41" spans="2:33">
      <c r="B41" s="283" t="s">
        <v>854</v>
      </c>
      <c r="C41" s="305">
        <f>IFERROR(SUMIF(初度設備!$C$30:$C$74,B41,初度設備!$K$30:$K$74)*((初度設備!$H$3-初度設備!$I$3)/初度設備!$H$3),0)</f>
        <v>0</v>
      </c>
      <c r="D41" s="306">
        <f t="shared" si="2"/>
        <v>0</v>
      </c>
      <c r="E41" s="305">
        <f>IFERROR(SUMIF(人工呼吸器!$C$30:$C$74,B41,人工呼吸器!$K$30:$K$74)*((人工呼吸器!$H$3-人工呼吸器!$I$3)/人工呼吸器!$H$3),0)</f>
        <v>0</v>
      </c>
      <c r="F41" s="306">
        <f t="shared" si="3"/>
        <v>0</v>
      </c>
      <c r="G41" s="306">
        <f t="shared" si="4"/>
        <v>0</v>
      </c>
      <c r="H41" s="306">
        <f t="shared" si="5"/>
        <v>0</v>
      </c>
      <c r="I41" s="305">
        <f>IFERROR(SUMIF(簡易陰圧装置!$C$30:$C$74,B41,簡易陰圧装置!$K$30:$K$74)*((簡易陰圧装置!$H$3-簡易陰圧装置!$I$3)/簡易陰圧装置!$H$3),0)</f>
        <v>0</v>
      </c>
      <c r="J41" s="306">
        <f t="shared" si="6"/>
        <v>0</v>
      </c>
      <c r="K41" s="305">
        <f>IFERROR(SUMIF(簡易ベッド!$C$30:$C$74,B41,簡易ベッド!$K$30:$K$74)*((簡易ベッド!$H$3-簡易ベッド!$I$3)/簡易ベッド!$H$3),0)</f>
        <v>0</v>
      </c>
      <c r="L41" s="306">
        <f t="shared" si="7"/>
        <v>0</v>
      </c>
      <c r="M41" s="305">
        <f>IFERROR(SUMIF(体外式膜型人工肺!$C$30:$C$74,B41,体外式膜型人工肺!$K$30:$K$74)*((体外式膜型人工肺!$H$3-体外式膜型人工肺!$I$3)/体外式膜型人工肺!$H$3),0)</f>
        <v>0</v>
      </c>
      <c r="N41" s="306">
        <f t="shared" si="8"/>
        <v>0</v>
      </c>
      <c r="O41" s="306">
        <f t="shared" si="9"/>
        <v>0</v>
      </c>
      <c r="P41" s="306">
        <f t="shared" si="10"/>
        <v>0</v>
      </c>
      <c r="Q41" s="305">
        <f>IFERROR(SUMIF(紫外線照射装置!$C$30:$C$74,B41,紫外線照射装置!$K$30:$K$74)*((紫外線照射装置!$H$3-紫外線照射装置!$I$3)/紫外線照射装置!$H$3),0)</f>
        <v>0</v>
      </c>
      <c r="R41" s="306">
        <f t="shared" si="11"/>
        <v>0</v>
      </c>
      <c r="S41" s="419">
        <f t="shared" si="12"/>
        <v>0</v>
      </c>
      <c r="T41" s="305">
        <f>IFERROR(SUMIF(超音波画像診断装置!$C$30:$C$74,B41,超音波画像診断装置!$K$30:$K$74)*((超音波画像診断装置!$H$3-超音波画像診断装置!$I$3)/超音波画像診断装置!$H$3),0)</f>
        <v>0</v>
      </c>
      <c r="U41" s="306">
        <f t="shared" si="13"/>
        <v>0</v>
      </c>
      <c r="V41" s="305">
        <f>IFERROR(SUMIF(血液浄化装置!$C$30:$C$74,B41,血液浄化装置!$K$30:$K$74)*((血液浄化装置!$H$3-血液浄化装置!$I$3)/血液浄化装置!$H$3),0)</f>
        <v>0</v>
      </c>
      <c r="W41" s="306">
        <f t="shared" si="14"/>
        <v>0</v>
      </c>
      <c r="X41" s="305">
        <f>IFERROR(SUMIF(気管支鏡!$C$30:$C$74,B41,気管支鏡!$K$30:$K$74)*((気管支鏡!$H$3-気管支鏡!$I$3)/気管支鏡!$H$3),0)</f>
        <v>0</v>
      </c>
      <c r="Y41" s="306">
        <f t="shared" si="0"/>
        <v>0</v>
      </c>
      <c r="Z41" s="305">
        <f>IFERROR(SUMIF(CT撮影装置!$C$30:$C$74,B41,CT撮影装置!$K$30:$K$74)*((CT撮影装置!$H$3-CT撮影装置!$I$3)/CT撮影装置!$H$3),0)</f>
        <v>0</v>
      </c>
      <c r="AA41" s="306">
        <f t="shared" si="15"/>
        <v>0</v>
      </c>
      <c r="AB41" s="305">
        <f>IFERROR(SUMIF(生体情報モニタ!$C$30:$C$74,B41,生体情報モニタ!$K$30:$K$74)*((生体情報モニタ!$H$3-生体情報モニタ!$I$3)/生体情報モニタ!$H$3),0)</f>
        <v>0</v>
      </c>
      <c r="AC41" s="306">
        <f t="shared" si="1"/>
        <v>0</v>
      </c>
      <c r="AD41" s="305">
        <f>IFERROR(SUMIF(分娩監視装置!$C$30:$C$74,B41,分娩監視装置!$K$30:$K$74)*((分娩監視装置!$H$3-分娩監視装置!$I$3)/分娩監視装置!$H$3),0)</f>
        <v>0</v>
      </c>
      <c r="AE41" s="306">
        <f t="shared" si="16"/>
        <v>0</v>
      </c>
      <c r="AF41" s="305">
        <f>IFERROR(SUMIF(新生児モニタ!$C$30:$C$74,B41,新生児モニタ!$K$30:$K$74)*((新生児モニタ!$H$3-新生児モニタ!$I$3)/新生児モニタ!$H$3),0)</f>
        <v>0</v>
      </c>
      <c r="AG41" s="306">
        <f t="shared" si="17"/>
        <v>0</v>
      </c>
    </row>
    <row r="42" spans="2:33">
      <c r="B42" s="283" t="s">
        <v>855</v>
      </c>
      <c r="C42" s="305">
        <f>IFERROR(SUMIF(初度設備!$C$30:$C$74,B42,初度設備!$K$30:$K$74)*((初度設備!$H$3-初度設備!$I$3)/初度設備!$H$3),0)</f>
        <v>0</v>
      </c>
      <c r="D42" s="306">
        <f t="shared" si="2"/>
        <v>0</v>
      </c>
      <c r="E42" s="305">
        <f>IFERROR(SUMIF(人工呼吸器!$C$30:$C$74,B42,人工呼吸器!$K$30:$K$74)*((人工呼吸器!$H$3-人工呼吸器!$I$3)/人工呼吸器!$H$3),0)</f>
        <v>0</v>
      </c>
      <c r="F42" s="306">
        <f t="shared" si="3"/>
        <v>0</v>
      </c>
      <c r="G42" s="306">
        <f t="shared" si="4"/>
        <v>0</v>
      </c>
      <c r="H42" s="306">
        <f t="shared" si="5"/>
        <v>0</v>
      </c>
      <c r="I42" s="305">
        <f>IFERROR(SUMIF(簡易陰圧装置!$C$30:$C$74,B42,簡易陰圧装置!$K$30:$K$74)*((簡易陰圧装置!$H$3-簡易陰圧装置!$I$3)/簡易陰圧装置!$H$3),0)</f>
        <v>0</v>
      </c>
      <c r="J42" s="306">
        <f t="shared" si="6"/>
        <v>0</v>
      </c>
      <c r="K42" s="305">
        <f>IFERROR(SUMIF(簡易ベッド!$C$30:$C$74,B42,簡易ベッド!$K$30:$K$74)*((簡易ベッド!$H$3-簡易ベッド!$I$3)/簡易ベッド!$H$3),0)</f>
        <v>0</v>
      </c>
      <c r="L42" s="306">
        <f t="shared" si="7"/>
        <v>0</v>
      </c>
      <c r="M42" s="305">
        <f>IFERROR(SUMIF(体外式膜型人工肺!$C$30:$C$74,B42,体外式膜型人工肺!$K$30:$K$74)*((体外式膜型人工肺!$H$3-体外式膜型人工肺!$I$3)/体外式膜型人工肺!$H$3),0)</f>
        <v>0</v>
      </c>
      <c r="N42" s="306">
        <f t="shared" si="8"/>
        <v>0</v>
      </c>
      <c r="O42" s="306">
        <f t="shared" si="9"/>
        <v>0</v>
      </c>
      <c r="P42" s="306">
        <f t="shared" si="10"/>
        <v>0</v>
      </c>
      <c r="Q42" s="305">
        <f>IFERROR(SUMIF(紫外線照射装置!$C$30:$C$74,B42,紫外線照射装置!$K$30:$K$74)*((紫外線照射装置!$H$3-紫外線照射装置!$I$3)/紫外線照射装置!$H$3),0)</f>
        <v>0</v>
      </c>
      <c r="R42" s="306">
        <f t="shared" si="11"/>
        <v>0</v>
      </c>
      <c r="S42" s="419">
        <f t="shared" si="12"/>
        <v>0</v>
      </c>
      <c r="T42" s="305">
        <f>IFERROR(SUMIF(超音波画像診断装置!$C$30:$C$74,B42,超音波画像診断装置!$K$30:$K$74)*((超音波画像診断装置!$H$3-超音波画像診断装置!$I$3)/超音波画像診断装置!$H$3),0)</f>
        <v>0</v>
      </c>
      <c r="U42" s="306">
        <f t="shared" si="13"/>
        <v>0</v>
      </c>
      <c r="V42" s="305">
        <f>IFERROR(SUMIF(血液浄化装置!$C$30:$C$74,B42,血液浄化装置!$K$30:$K$74)*((血液浄化装置!$H$3-血液浄化装置!$I$3)/血液浄化装置!$H$3),0)</f>
        <v>0</v>
      </c>
      <c r="W42" s="306">
        <f t="shared" si="14"/>
        <v>0</v>
      </c>
      <c r="X42" s="305">
        <f>IFERROR(SUMIF(気管支鏡!$C$30:$C$74,B42,気管支鏡!$K$30:$K$74)*((気管支鏡!$H$3-気管支鏡!$I$3)/気管支鏡!$H$3),0)</f>
        <v>0</v>
      </c>
      <c r="Y42" s="306">
        <f t="shared" si="0"/>
        <v>0</v>
      </c>
      <c r="Z42" s="305">
        <f>IFERROR(SUMIF(CT撮影装置!$C$30:$C$74,B42,CT撮影装置!$K$30:$K$74)*((CT撮影装置!$H$3-CT撮影装置!$I$3)/CT撮影装置!$H$3),0)</f>
        <v>0</v>
      </c>
      <c r="AA42" s="306">
        <f t="shared" si="15"/>
        <v>0</v>
      </c>
      <c r="AB42" s="305">
        <f>IFERROR(SUMIF(生体情報モニタ!$C$30:$C$74,B42,生体情報モニタ!$K$30:$K$74)*((生体情報モニタ!$H$3-生体情報モニタ!$I$3)/生体情報モニタ!$H$3),0)</f>
        <v>0</v>
      </c>
      <c r="AC42" s="306">
        <f t="shared" si="1"/>
        <v>0</v>
      </c>
      <c r="AD42" s="305">
        <f>IFERROR(SUMIF(分娩監視装置!$C$30:$C$74,B42,分娩監視装置!$K$30:$K$74)*((分娩監視装置!$H$3-分娩監視装置!$I$3)/分娩監視装置!$H$3),0)</f>
        <v>0</v>
      </c>
      <c r="AE42" s="306">
        <f t="shared" si="16"/>
        <v>0</v>
      </c>
      <c r="AF42" s="305">
        <f>IFERROR(SUMIF(新生児モニタ!$C$30:$C$74,B42,新生児モニタ!$K$30:$K$74)*((新生児モニタ!$H$3-新生児モニタ!$I$3)/新生児モニタ!$H$3),0)</f>
        <v>0</v>
      </c>
      <c r="AG42" s="306">
        <f t="shared" si="17"/>
        <v>0</v>
      </c>
    </row>
    <row r="43" spans="2:33">
      <c r="B43" s="283" t="s">
        <v>856</v>
      </c>
      <c r="C43" s="305">
        <f>IFERROR(SUMIF(初度設備!$C$30:$C$74,B43,初度設備!$K$30:$K$74)*((初度設備!$H$3-初度設備!$I$3)/初度設備!$H$3),0)</f>
        <v>0</v>
      </c>
      <c r="D43" s="306">
        <f t="shared" si="2"/>
        <v>0</v>
      </c>
      <c r="E43" s="305">
        <f>IFERROR(SUMIF(人工呼吸器!$C$30:$C$74,B43,人工呼吸器!$K$30:$K$74)*((人工呼吸器!$H$3-人工呼吸器!$I$3)/人工呼吸器!$H$3),0)</f>
        <v>0</v>
      </c>
      <c r="F43" s="306">
        <f t="shared" si="3"/>
        <v>0</v>
      </c>
      <c r="G43" s="306">
        <f t="shared" si="4"/>
        <v>0</v>
      </c>
      <c r="H43" s="306">
        <f t="shared" si="5"/>
        <v>0</v>
      </c>
      <c r="I43" s="305">
        <f>IFERROR(SUMIF(簡易陰圧装置!$C$30:$C$74,B43,簡易陰圧装置!$K$30:$K$74)*((簡易陰圧装置!$H$3-簡易陰圧装置!$I$3)/簡易陰圧装置!$H$3),0)</f>
        <v>0</v>
      </c>
      <c r="J43" s="306">
        <f t="shared" si="6"/>
        <v>0</v>
      </c>
      <c r="K43" s="305">
        <f>IFERROR(SUMIF(簡易ベッド!$C$30:$C$74,B43,簡易ベッド!$K$30:$K$74)*((簡易ベッド!$H$3-簡易ベッド!$I$3)/簡易ベッド!$H$3),0)</f>
        <v>0</v>
      </c>
      <c r="L43" s="306">
        <f t="shared" si="7"/>
        <v>0</v>
      </c>
      <c r="M43" s="305">
        <f>IFERROR(SUMIF(体外式膜型人工肺!$C$30:$C$74,B43,体外式膜型人工肺!$K$30:$K$74)*((体外式膜型人工肺!$H$3-体外式膜型人工肺!$I$3)/体外式膜型人工肺!$H$3),0)</f>
        <v>0</v>
      </c>
      <c r="N43" s="306">
        <f t="shared" si="8"/>
        <v>0</v>
      </c>
      <c r="O43" s="306">
        <f t="shared" si="9"/>
        <v>0</v>
      </c>
      <c r="P43" s="306">
        <f t="shared" si="10"/>
        <v>0</v>
      </c>
      <c r="Q43" s="305">
        <f>IFERROR(SUMIF(紫外線照射装置!$C$30:$C$74,B43,紫外線照射装置!$K$30:$K$74)*((紫外線照射装置!$H$3-紫外線照射装置!$I$3)/紫外線照射装置!$H$3),0)</f>
        <v>0</v>
      </c>
      <c r="R43" s="306">
        <f t="shared" si="11"/>
        <v>0</v>
      </c>
      <c r="S43" s="419">
        <f t="shared" si="12"/>
        <v>0</v>
      </c>
      <c r="T43" s="305">
        <f>IFERROR(SUMIF(超音波画像診断装置!$C$30:$C$74,B43,超音波画像診断装置!$K$30:$K$74)*((超音波画像診断装置!$H$3-超音波画像診断装置!$I$3)/超音波画像診断装置!$H$3),0)</f>
        <v>0</v>
      </c>
      <c r="U43" s="306">
        <f t="shared" si="13"/>
        <v>0</v>
      </c>
      <c r="V43" s="305">
        <f>IFERROR(SUMIF(血液浄化装置!$C$30:$C$74,B43,血液浄化装置!$K$30:$K$74)*((血液浄化装置!$H$3-血液浄化装置!$I$3)/血液浄化装置!$H$3),0)</f>
        <v>0</v>
      </c>
      <c r="W43" s="306">
        <f t="shared" si="14"/>
        <v>0</v>
      </c>
      <c r="X43" s="305">
        <f>IFERROR(SUMIF(気管支鏡!$C$30:$C$74,B43,気管支鏡!$K$30:$K$74)*((気管支鏡!$H$3-気管支鏡!$I$3)/気管支鏡!$H$3),0)</f>
        <v>0</v>
      </c>
      <c r="Y43" s="306">
        <f t="shared" si="0"/>
        <v>0</v>
      </c>
      <c r="Z43" s="305">
        <f>IFERROR(SUMIF(CT撮影装置!$C$30:$C$74,B43,CT撮影装置!$K$30:$K$74)*((CT撮影装置!$H$3-CT撮影装置!$I$3)/CT撮影装置!$H$3),0)</f>
        <v>0</v>
      </c>
      <c r="AA43" s="306">
        <f t="shared" si="15"/>
        <v>0</v>
      </c>
      <c r="AB43" s="305">
        <f>IFERROR(SUMIF(生体情報モニタ!$C$30:$C$74,B43,生体情報モニタ!$K$30:$K$74)*((生体情報モニタ!$H$3-生体情報モニタ!$I$3)/生体情報モニタ!$H$3),0)</f>
        <v>0</v>
      </c>
      <c r="AC43" s="306">
        <f t="shared" si="1"/>
        <v>0</v>
      </c>
      <c r="AD43" s="305">
        <f>IFERROR(SUMIF(分娩監視装置!$C$30:$C$74,B43,分娩監視装置!$K$30:$K$74)*((分娩監視装置!$H$3-分娩監視装置!$I$3)/分娩監視装置!$H$3),0)</f>
        <v>0</v>
      </c>
      <c r="AE43" s="306">
        <f t="shared" si="16"/>
        <v>0</v>
      </c>
      <c r="AF43" s="305">
        <f>IFERROR(SUMIF(新生児モニタ!$C$30:$C$74,B43,新生児モニタ!$K$30:$K$74)*((新生児モニタ!$H$3-新生児モニタ!$I$3)/新生児モニタ!$H$3),0)</f>
        <v>0</v>
      </c>
      <c r="AG43" s="306">
        <f t="shared" si="17"/>
        <v>0</v>
      </c>
    </row>
    <row r="44" spans="2:33">
      <c r="B44" s="283" t="s">
        <v>857</v>
      </c>
      <c r="C44" s="305">
        <f>IFERROR(SUMIF(初度設備!$C$30:$C$74,B44,初度設備!$K$30:$K$74)*((初度設備!$H$3-初度設備!$I$3)/初度設備!$H$3),0)</f>
        <v>0</v>
      </c>
      <c r="D44" s="306">
        <f t="shared" si="2"/>
        <v>0</v>
      </c>
      <c r="E44" s="305">
        <f>IFERROR(SUMIF(人工呼吸器!$C$30:$C$74,B44,人工呼吸器!$K$30:$K$74)*((人工呼吸器!$H$3-人工呼吸器!$I$3)/人工呼吸器!$H$3),0)</f>
        <v>0</v>
      </c>
      <c r="F44" s="306">
        <f t="shared" si="3"/>
        <v>0</v>
      </c>
      <c r="G44" s="306">
        <f t="shared" si="4"/>
        <v>0</v>
      </c>
      <c r="H44" s="306">
        <f t="shared" si="5"/>
        <v>0</v>
      </c>
      <c r="I44" s="305">
        <f>IFERROR(SUMIF(簡易陰圧装置!$C$30:$C$74,B44,簡易陰圧装置!$K$30:$K$74)*((簡易陰圧装置!$H$3-簡易陰圧装置!$I$3)/簡易陰圧装置!$H$3),0)</f>
        <v>0</v>
      </c>
      <c r="J44" s="306">
        <f t="shared" si="6"/>
        <v>0</v>
      </c>
      <c r="K44" s="305">
        <f>IFERROR(SUMIF(簡易ベッド!$C$30:$C$74,B44,簡易ベッド!$K$30:$K$74)*((簡易ベッド!$H$3-簡易ベッド!$I$3)/簡易ベッド!$H$3),0)</f>
        <v>0</v>
      </c>
      <c r="L44" s="306">
        <f t="shared" si="7"/>
        <v>0</v>
      </c>
      <c r="M44" s="305">
        <f>IFERROR(SUMIF(体外式膜型人工肺!$C$30:$C$74,B44,体外式膜型人工肺!$K$30:$K$74)*((体外式膜型人工肺!$H$3-体外式膜型人工肺!$I$3)/体外式膜型人工肺!$H$3),0)</f>
        <v>0</v>
      </c>
      <c r="N44" s="306">
        <f t="shared" si="8"/>
        <v>0</v>
      </c>
      <c r="O44" s="306">
        <f t="shared" si="9"/>
        <v>0</v>
      </c>
      <c r="P44" s="306">
        <f t="shared" si="10"/>
        <v>0</v>
      </c>
      <c r="Q44" s="305">
        <f>IFERROR(SUMIF(紫外線照射装置!$C$30:$C$74,B44,紫外線照射装置!$K$30:$K$74)*((紫外線照射装置!$H$3-紫外線照射装置!$I$3)/紫外線照射装置!$H$3),0)</f>
        <v>0</v>
      </c>
      <c r="R44" s="306">
        <f t="shared" si="11"/>
        <v>0</v>
      </c>
      <c r="S44" s="419">
        <f t="shared" si="12"/>
        <v>0</v>
      </c>
      <c r="T44" s="305">
        <f>IFERROR(SUMIF(超音波画像診断装置!$C$30:$C$74,B44,超音波画像診断装置!$K$30:$K$74)*((超音波画像診断装置!$H$3-超音波画像診断装置!$I$3)/超音波画像診断装置!$H$3),0)</f>
        <v>0</v>
      </c>
      <c r="U44" s="306">
        <f t="shared" si="13"/>
        <v>0</v>
      </c>
      <c r="V44" s="305">
        <f>IFERROR(SUMIF(血液浄化装置!$C$30:$C$74,B44,血液浄化装置!$K$30:$K$74)*((血液浄化装置!$H$3-血液浄化装置!$I$3)/血液浄化装置!$H$3),0)</f>
        <v>0</v>
      </c>
      <c r="W44" s="306">
        <f t="shared" si="14"/>
        <v>0</v>
      </c>
      <c r="X44" s="305">
        <f>IFERROR(SUMIF(気管支鏡!$C$30:$C$74,B44,気管支鏡!$K$30:$K$74)*((気管支鏡!$H$3-気管支鏡!$I$3)/気管支鏡!$H$3),0)</f>
        <v>0</v>
      </c>
      <c r="Y44" s="306">
        <f t="shared" si="0"/>
        <v>0</v>
      </c>
      <c r="Z44" s="305">
        <f>IFERROR(SUMIF(CT撮影装置!$C$30:$C$74,B44,CT撮影装置!$K$30:$K$74)*((CT撮影装置!$H$3-CT撮影装置!$I$3)/CT撮影装置!$H$3),0)</f>
        <v>0</v>
      </c>
      <c r="AA44" s="306">
        <f t="shared" si="15"/>
        <v>0</v>
      </c>
      <c r="AB44" s="305">
        <f>IFERROR(SUMIF(生体情報モニタ!$C$30:$C$74,B44,生体情報モニタ!$K$30:$K$74)*((生体情報モニタ!$H$3-生体情報モニタ!$I$3)/生体情報モニタ!$H$3),0)</f>
        <v>0</v>
      </c>
      <c r="AC44" s="306">
        <f t="shared" si="1"/>
        <v>0</v>
      </c>
      <c r="AD44" s="305">
        <f>IFERROR(SUMIF(分娩監視装置!$C$30:$C$74,B44,分娩監視装置!$K$30:$K$74)*((分娩監視装置!$H$3-分娩監視装置!$I$3)/分娩監視装置!$H$3),0)</f>
        <v>0</v>
      </c>
      <c r="AE44" s="306">
        <f t="shared" si="16"/>
        <v>0</v>
      </c>
      <c r="AF44" s="305">
        <f>IFERROR(SUMIF(新生児モニタ!$C$30:$C$74,B44,新生児モニタ!$K$30:$K$74)*((新生児モニタ!$H$3-新生児モニタ!$I$3)/新生児モニタ!$H$3),0)</f>
        <v>0</v>
      </c>
      <c r="AG44" s="306">
        <f t="shared" si="17"/>
        <v>0</v>
      </c>
    </row>
    <row r="45" spans="2:33">
      <c r="B45" s="283" t="s">
        <v>858</v>
      </c>
      <c r="C45" s="305">
        <f>IFERROR(SUMIF(初度設備!$C$30:$C$74,B45,初度設備!$K$30:$K$74)*((初度設備!$H$3-初度設備!$I$3)/初度設備!$H$3),0)</f>
        <v>0</v>
      </c>
      <c r="D45" s="306">
        <f t="shared" si="2"/>
        <v>0</v>
      </c>
      <c r="E45" s="305">
        <f>IFERROR(SUMIF(人工呼吸器!$C$30:$C$74,B45,人工呼吸器!$K$30:$K$74)*((人工呼吸器!$H$3-人工呼吸器!$I$3)/人工呼吸器!$H$3),0)</f>
        <v>0</v>
      </c>
      <c r="F45" s="306">
        <f t="shared" si="3"/>
        <v>0</v>
      </c>
      <c r="G45" s="306">
        <f t="shared" si="4"/>
        <v>0</v>
      </c>
      <c r="H45" s="306">
        <f t="shared" si="5"/>
        <v>0</v>
      </c>
      <c r="I45" s="305">
        <f>IFERROR(SUMIF(簡易陰圧装置!$C$30:$C$74,B45,簡易陰圧装置!$K$30:$K$74)*((簡易陰圧装置!$H$3-簡易陰圧装置!$I$3)/簡易陰圧装置!$H$3),0)</f>
        <v>0</v>
      </c>
      <c r="J45" s="306">
        <f t="shared" si="6"/>
        <v>0</v>
      </c>
      <c r="K45" s="305">
        <f>IFERROR(SUMIF(簡易ベッド!$C$30:$C$74,B45,簡易ベッド!$K$30:$K$74)*((簡易ベッド!$H$3-簡易ベッド!$I$3)/簡易ベッド!$H$3),0)</f>
        <v>0</v>
      </c>
      <c r="L45" s="306">
        <f t="shared" si="7"/>
        <v>0</v>
      </c>
      <c r="M45" s="305">
        <f>IFERROR(SUMIF(体外式膜型人工肺!$C$30:$C$74,B45,体外式膜型人工肺!$K$30:$K$74)*((体外式膜型人工肺!$H$3-体外式膜型人工肺!$I$3)/体外式膜型人工肺!$H$3),0)</f>
        <v>0</v>
      </c>
      <c r="N45" s="306">
        <f t="shared" si="8"/>
        <v>0</v>
      </c>
      <c r="O45" s="306">
        <f t="shared" si="9"/>
        <v>0</v>
      </c>
      <c r="P45" s="306">
        <f t="shared" si="10"/>
        <v>0</v>
      </c>
      <c r="Q45" s="305">
        <f>IFERROR(SUMIF(紫外線照射装置!$C$30:$C$74,B45,紫外線照射装置!$K$30:$K$74)*((紫外線照射装置!$H$3-紫外線照射装置!$I$3)/紫外線照射装置!$H$3),0)</f>
        <v>0</v>
      </c>
      <c r="R45" s="306">
        <f t="shared" si="11"/>
        <v>0</v>
      </c>
      <c r="S45" s="419">
        <f t="shared" si="12"/>
        <v>0</v>
      </c>
      <c r="T45" s="305">
        <f>IFERROR(SUMIF(超音波画像診断装置!$C$30:$C$74,B45,超音波画像診断装置!$K$30:$K$74)*((超音波画像診断装置!$H$3-超音波画像診断装置!$I$3)/超音波画像診断装置!$H$3),0)</f>
        <v>0</v>
      </c>
      <c r="U45" s="306">
        <f t="shared" si="13"/>
        <v>0</v>
      </c>
      <c r="V45" s="305">
        <f>IFERROR(SUMIF(血液浄化装置!$C$30:$C$74,B45,血液浄化装置!$K$30:$K$74)*((血液浄化装置!$H$3-血液浄化装置!$I$3)/血液浄化装置!$H$3),0)</f>
        <v>0</v>
      </c>
      <c r="W45" s="306">
        <f t="shared" si="14"/>
        <v>0</v>
      </c>
      <c r="X45" s="305">
        <f>IFERROR(SUMIF(気管支鏡!$C$30:$C$74,B45,気管支鏡!$K$30:$K$74)*((気管支鏡!$H$3-気管支鏡!$I$3)/気管支鏡!$H$3),0)</f>
        <v>0</v>
      </c>
      <c r="Y45" s="306">
        <f t="shared" si="0"/>
        <v>0</v>
      </c>
      <c r="Z45" s="305">
        <f>IFERROR(SUMIF(CT撮影装置!$C$30:$C$74,B45,CT撮影装置!$K$30:$K$74)*((CT撮影装置!$H$3-CT撮影装置!$I$3)/CT撮影装置!$H$3),0)</f>
        <v>0</v>
      </c>
      <c r="AA45" s="306">
        <f t="shared" si="15"/>
        <v>0</v>
      </c>
      <c r="AB45" s="305">
        <f>IFERROR(SUMIF(生体情報モニタ!$C$30:$C$74,B45,生体情報モニタ!$K$30:$K$74)*((生体情報モニタ!$H$3-生体情報モニタ!$I$3)/生体情報モニタ!$H$3),0)</f>
        <v>0</v>
      </c>
      <c r="AC45" s="306">
        <f t="shared" si="1"/>
        <v>0</v>
      </c>
      <c r="AD45" s="305">
        <f>IFERROR(SUMIF(分娩監視装置!$C$30:$C$74,B45,分娩監視装置!$K$30:$K$74)*((分娩監視装置!$H$3-分娩監視装置!$I$3)/分娩監視装置!$H$3),0)</f>
        <v>0</v>
      </c>
      <c r="AE45" s="306">
        <f t="shared" si="16"/>
        <v>0</v>
      </c>
      <c r="AF45" s="305">
        <f>IFERROR(SUMIF(新生児モニタ!$C$30:$C$74,B45,新生児モニタ!$K$30:$K$74)*((新生児モニタ!$H$3-新生児モニタ!$I$3)/新生児モニタ!$H$3),0)</f>
        <v>0</v>
      </c>
      <c r="AG45" s="306">
        <f t="shared" si="17"/>
        <v>0</v>
      </c>
    </row>
    <row r="46" spans="2:33">
      <c r="B46" s="283" t="s">
        <v>859</v>
      </c>
      <c r="C46" s="305">
        <f>IFERROR(SUMIF(初度設備!$C$30:$C$74,B46,初度設備!$K$30:$K$74)*((初度設備!$H$3-初度設備!$I$3)/初度設備!$H$3),0)</f>
        <v>0</v>
      </c>
      <c r="D46" s="306">
        <f t="shared" si="2"/>
        <v>0</v>
      </c>
      <c r="E46" s="305">
        <f>IFERROR(SUMIF(人工呼吸器!$C$30:$C$74,B46,人工呼吸器!$K$30:$K$74)*((人工呼吸器!$H$3-人工呼吸器!$I$3)/人工呼吸器!$H$3),0)</f>
        <v>0</v>
      </c>
      <c r="F46" s="306">
        <f t="shared" si="3"/>
        <v>0</v>
      </c>
      <c r="G46" s="306">
        <f t="shared" si="4"/>
        <v>0</v>
      </c>
      <c r="H46" s="306">
        <f t="shared" si="5"/>
        <v>0</v>
      </c>
      <c r="I46" s="305">
        <f>IFERROR(SUMIF(簡易陰圧装置!$C$30:$C$74,B46,簡易陰圧装置!$K$30:$K$74)*((簡易陰圧装置!$H$3-簡易陰圧装置!$I$3)/簡易陰圧装置!$H$3),0)</f>
        <v>0</v>
      </c>
      <c r="J46" s="306">
        <f t="shared" si="6"/>
        <v>0</v>
      </c>
      <c r="K46" s="305">
        <f>IFERROR(SUMIF(簡易ベッド!$C$30:$C$74,B46,簡易ベッド!$K$30:$K$74)*((簡易ベッド!$H$3-簡易ベッド!$I$3)/簡易ベッド!$H$3),0)</f>
        <v>0</v>
      </c>
      <c r="L46" s="306">
        <f t="shared" si="7"/>
        <v>0</v>
      </c>
      <c r="M46" s="305">
        <f>IFERROR(SUMIF(体外式膜型人工肺!$C$30:$C$74,B46,体外式膜型人工肺!$K$30:$K$74)*((体外式膜型人工肺!$H$3-体外式膜型人工肺!$I$3)/体外式膜型人工肺!$H$3),0)</f>
        <v>0</v>
      </c>
      <c r="N46" s="306">
        <f t="shared" si="8"/>
        <v>0</v>
      </c>
      <c r="O46" s="306">
        <f t="shared" si="9"/>
        <v>0</v>
      </c>
      <c r="P46" s="306">
        <f t="shared" si="10"/>
        <v>0</v>
      </c>
      <c r="Q46" s="305">
        <f>IFERROR(SUMIF(紫外線照射装置!$C$30:$C$74,B46,紫外線照射装置!$K$30:$K$74)*((紫外線照射装置!$H$3-紫外線照射装置!$I$3)/紫外線照射装置!$H$3),0)</f>
        <v>0</v>
      </c>
      <c r="R46" s="306">
        <f t="shared" si="11"/>
        <v>0</v>
      </c>
      <c r="S46" s="419">
        <f t="shared" si="12"/>
        <v>0</v>
      </c>
      <c r="T46" s="305">
        <f>IFERROR(SUMIF(超音波画像診断装置!$C$30:$C$74,B46,超音波画像診断装置!$K$30:$K$74)*((超音波画像診断装置!$H$3-超音波画像診断装置!$I$3)/超音波画像診断装置!$H$3),0)</f>
        <v>0</v>
      </c>
      <c r="U46" s="306">
        <f t="shared" si="13"/>
        <v>0</v>
      </c>
      <c r="V46" s="305">
        <f>IFERROR(SUMIF(血液浄化装置!$C$30:$C$74,B46,血液浄化装置!$K$30:$K$74)*((血液浄化装置!$H$3-血液浄化装置!$I$3)/血液浄化装置!$H$3),0)</f>
        <v>0</v>
      </c>
      <c r="W46" s="306">
        <f t="shared" si="14"/>
        <v>0</v>
      </c>
      <c r="X46" s="305">
        <f>IFERROR(SUMIF(気管支鏡!$C$30:$C$74,B46,気管支鏡!$K$30:$K$74)*((気管支鏡!$H$3-気管支鏡!$I$3)/気管支鏡!$H$3),0)</f>
        <v>0</v>
      </c>
      <c r="Y46" s="306">
        <f t="shared" si="0"/>
        <v>0</v>
      </c>
      <c r="Z46" s="305">
        <f>IFERROR(SUMIF(CT撮影装置!$C$30:$C$74,B46,CT撮影装置!$K$30:$K$74)*((CT撮影装置!$H$3-CT撮影装置!$I$3)/CT撮影装置!$H$3),0)</f>
        <v>0</v>
      </c>
      <c r="AA46" s="306">
        <f t="shared" si="15"/>
        <v>0</v>
      </c>
      <c r="AB46" s="305">
        <f>IFERROR(SUMIF(生体情報モニタ!$C$30:$C$74,B46,生体情報モニタ!$K$30:$K$74)*((生体情報モニタ!$H$3-生体情報モニタ!$I$3)/生体情報モニタ!$H$3),0)</f>
        <v>0</v>
      </c>
      <c r="AC46" s="306">
        <f t="shared" si="1"/>
        <v>0</v>
      </c>
      <c r="AD46" s="305">
        <f>IFERROR(SUMIF(分娩監視装置!$C$30:$C$74,B46,分娩監視装置!$K$30:$K$74)*((分娩監視装置!$H$3-分娩監視装置!$I$3)/分娩監視装置!$H$3),0)</f>
        <v>0</v>
      </c>
      <c r="AE46" s="306">
        <f t="shared" si="16"/>
        <v>0</v>
      </c>
      <c r="AF46" s="305">
        <f>IFERROR(SUMIF(新生児モニタ!$C$30:$C$74,B46,新生児モニタ!$K$30:$K$74)*((新生児モニタ!$H$3-新生児モニタ!$I$3)/新生児モニタ!$H$3),0)</f>
        <v>0</v>
      </c>
      <c r="AG46" s="306">
        <f t="shared" si="17"/>
        <v>0</v>
      </c>
    </row>
    <row r="47" spans="2:33">
      <c r="B47" s="283" t="s">
        <v>860</v>
      </c>
      <c r="C47" s="305">
        <f>IFERROR(SUMIF(初度設備!$C$30:$C$74,B47,初度設備!$K$30:$K$74)*((初度設備!$H$3-初度設備!$I$3)/初度設備!$H$3),0)</f>
        <v>0</v>
      </c>
      <c r="D47" s="306">
        <f t="shared" si="2"/>
        <v>0</v>
      </c>
      <c r="E47" s="305">
        <f>IFERROR(SUMIF(人工呼吸器!$C$30:$C$74,B47,人工呼吸器!$K$30:$K$74)*((人工呼吸器!$H$3-人工呼吸器!$I$3)/人工呼吸器!$H$3),0)</f>
        <v>0</v>
      </c>
      <c r="F47" s="306">
        <f t="shared" si="3"/>
        <v>0</v>
      </c>
      <c r="G47" s="306">
        <f t="shared" si="4"/>
        <v>0</v>
      </c>
      <c r="H47" s="306">
        <f t="shared" si="5"/>
        <v>0</v>
      </c>
      <c r="I47" s="305">
        <f>IFERROR(SUMIF(簡易陰圧装置!$C$30:$C$74,B47,簡易陰圧装置!$K$30:$K$74)*((簡易陰圧装置!$H$3-簡易陰圧装置!$I$3)/簡易陰圧装置!$H$3),0)</f>
        <v>0</v>
      </c>
      <c r="J47" s="306">
        <f t="shared" si="6"/>
        <v>0</v>
      </c>
      <c r="K47" s="305">
        <f>IFERROR(SUMIF(簡易ベッド!$C$30:$C$74,B47,簡易ベッド!$K$30:$K$74)*((簡易ベッド!$H$3-簡易ベッド!$I$3)/簡易ベッド!$H$3),0)</f>
        <v>0</v>
      </c>
      <c r="L47" s="306">
        <f t="shared" si="7"/>
        <v>0</v>
      </c>
      <c r="M47" s="305">
        <f>IFERROR(SUMIF(体外式膜型人工肺!$C$30:$C$74,B47,体外式膜型人工肺!$K$30:$K$74)*((体外式膜型人工肺!$H$3-体外式膜型人工肺!$I$3)/体外式膜型人工肺!$H$3),0)</f>
        <v>0</v>
      </c>
      <c r="N47" s="306">
        <f t="shared" si="8"/>
        <v>0</v>
      </c>
      <c r="O47" s="306">
        <f t="shared" si="9"/>
        <v>0</v>
      </c>
      <c r="P47" s="306">
        <f t="shared" si="10"/>
        <v>0</v>
      </c>
      <c r="Q47" s="305">
        <f>IFERROR(SUMIF(紫外線照射装置!$C$30:$C$74,B47,紫外線照射装置!$K$30:$K$74)*((紫外線照射装置!$H$3-紫外線照射装置!$I$3)/紫外線照射装置!$H$3),0)</f>
        <v>0</v>
      </c>
      <c r="R47" s="306">
        <f t="shared" si="11"/>
        <v>0</v>
      </c>
      <c r="S47" s="419">
        <f t="shared" si="12"/>
        <v>0</v>
      </c>
      <c r="T47" s="305">
        <f>IFERROR(SUMIF(超音波画像診断装置!$C$30:$C$74,B47,超音波画像診断装置!$K$30:$K$74)*((超音波画像診断装置!$H$3-超音波画像診断装置!$I$3)/超音波画像診断装置!$H$3),0)</f>
        <v>0</v>
      </c>
      <c r="U47" s="306">
        <f t="shared" si="13"/>
        <v>0</v>
      </c>
      <c r="V47" s="305">
        <f>IFERROR(SUMIF(血液浄化装置!$C$30:$C$74,B47,血液浄化装置!$K$30:$K$74)*((血液浄化装置!$H$3-血液浄化装置!$I$3)/血液浄化装置!$H$3),0)</f>
        <v>0</v>
      </c>
      <c r="W47" s="306">
        <f t="shared" si="14"/>
        <v>0</v>
      </c>
      <c r="X47" s="305">
        <f>IFERROR(SUMIF(気管支鏡!$C$30:$C$74,B47,気管支鏡!$K$30:$K$74)*((気管支鏡!$H$3-気管支鏡!$I$3)/気管支鏡!$H$3),0)</f>
        <v>0</v>
      </c>
      <c r="Y47" s="306">
        <f t="shared" si="0"/>
        <v>0</v>
      </c>
      <c r="Z47" s="305">
        <f>IFERROR(SUMIF(CT撮影装置!$C$30:$C$74,B47,CT撮影装置!$K$30:$K$74)*((CT撮影装置!$H$3-CT撮影装置!$I$3)/CT撮影装置!$H$3),0)</f>
        <v>0</v>
      </c>
      <c r="AA47" s="306">
        <f t="shared" si="15"/>
        <v>0</v>
      </c>
      <c r="AB47" s="305">
        <f>IFERROR(SUMIF(生体情報モニタ!$C$30:$C$74,B47,生体情報モニタ!$K$30:$K$74)*((生体情報モニタ!$H$3-生体情報モニタ!$I$3)/生体情報モニタ!$H$3),0)</f>
        <v>0</v>
      </c>
      <c r="AC47" s="306">
        <f t="shared" si="1"/>
        <v>0</v>
      </c>
      <c r="AD47" s="305">
        <f>IFERROR(SUMIF(分娩監視装置!$C$30:$C$74,B47,分娩監視装置!$K$30:$K$74)*((分娩監視装置!$H$3-分娩監視装置!$I$3)/分娩監視装置!$H$3),0)</f>
        <v>0</v>
      </c>
      <c r="AE47" s="306">
        <f t="shared" si="16"/>
        <v>0</v>
      </c>
      <c r="AF47" s="305">
        <f>IFERROR(SUMIF(新生児モニタ!$C$30:$C$74,B47,新生児モニタ!$K$30:$K$74)*((新生児モニタ!$H$3-新生児モニタ!$I$3)/新生児モニタ!$H$3),0)</f>
        <v>0</v>
      </c>
      <c r="AG47" s="306">
        <f t="shared" si="17"/>
        <v>0</v>
      </c>
    </row>
    <row r="48" spans="2:33">
      <c r="B48" s="283" t="s">
        <v>861</v>
      </c>
      <c r="C48" s="305">
        <f>IFERROR(SUMIF(初度設備!$C$30:$C$74,B48,初度設備!$K$30:$K$74)*((初度設備!$H$3-初度設備!$I$3)/初度設備!$H$3),0)</f>
        <v>0</v>
      </c>
      <c r="D48" s="306">
        <f t="shared" si="2"/>
        <v>0</v>
      </c>
      <c r="E48" s="305">
        <f>IFERROR(SUMIF(人工呼吸器!$C$30:$C$74,B48,人工呼吸器!$K$30:$K$74)*((人工呼吸器!$H$3-人工呼吸器!$I$3)/人工呼吸器!$H$3),0)</f>
        <v>0</v>
      </c>
      <c r="F48" s="306">
        <f t="shared" si="3"/>
        <v>0</v>
      </c>
      <c r="G48" s="306">
        <f t="shared" si="4"/>
        <v>0</v>
      </c>
      <c r="H48" s="306">
        <f t="shared" si="5"/>
        <v>0</v>
      </c>
      <c r="I48" s="305">
        <f>IFERROR(SUMIF(簡易陰圧装置!$C$30:$C$74,B48,簡易陰圧装置!$K$30:$K$74)*((簡易陰圧装置!$H$3-簡易陰圧装置!$I$3)/簡易陰圧装置!$H$3),0)</f>
        <v>0</v>
      </c>
      <c r="J48" s="306">
        <f t="shared" si="6"/>
        <v>0</v>
      </c>
      <c r="K48" s="305">
        <f>IFERROR(SUMIF(簡易ベッド!$C$30:$C$74,B48,簡易ベッド!$K$30:$K$74)*((簡易ベッド!$H$3-簡易ベッド!$I$3)/簡易ベッド!$H$3),0)</f>
        <v>0</v>
      </c>
      <c r="L48" s="306">
        <f t="shared" si="7"/>
        <v>0</v>
      </c>
      <c r="M48" s="305">
        <f>IFERROR(SUMIF(体外式膜型人工肺!$C$30:$C$74,B48,体外式膜型人工肺!$K$30:$K$74)*((体外式膜型人工肺!$H$3-体外式膜型人工肺!$I$3)/体外式膜型人工肺!$H$3),0)</f>
        <v>0</v>
      </c>
      <c r="N48" s="306">
        <f t="shared" si="8"/>
        <v>0</v>
      </c>
      <c r="O48" s="306">
        <f t="shared" si="9"/>
        <v>0</v>
      </c>
      <c r="P48" s="306">
        <f t="shared" si="10"/>
        <v>0</v>
      </c>
      <c r="Q48" s="305">
        <f>IFERROR(SUMIF(紫外線照射装置!$C$30:$C$74,B48,紫外線照射装置!$K$30:$K$74)*((紫外線照射装置!$H$3-紫外線照射装置!$I$3)/紫外線照射装置!$H$3),0)</f>
        <v>0</v>
      </c>
      <c r="R48" s="306">
        <f t="shared" si="11"/>
        <v>0</v>
      </c>
      <c r="S48" s="419">
        <f t="shared" si="12"/>
        <v>0</v>
      </c>
      <c r="T48" s="305">
        <f>IFERROR(SUMIF(超音波画像診断装置!$C$30:$C$74,B48,超音波画像診断装置!$K$30:$K$74)*((超音波画像診断装置!$H$3-超音波画像診断装置!$I$3)/超音波画像診断装置!$H$3),0)</f>
        <v>0</v>
      </c>
      <c r="U48" s="306">
        <f t="shared" si="13"/>
        <v>0</v>
      </c>
      <c r="V48" s="305">
        <f>IFERROR(SUMIF(血液浄化装置!$C$30:$C$74,B48,血液浄化装置!$K$30:$K$74)*((血液浄化装置!$H$3-血液浄化装置!$I$3)/血液浄化装置!$H$3),0)</f>
        <v>0</v>
      </c>
      <c r="W48" s="306">
        <f t="shared" si="14"/>
        <v>0</v>
      </c>
      <c r="X48" s="305">
        <f>IFERROR(SUMIF(気管支鏡!$C$30:$C$74,B48,気管支鏡!$K$30:$K$74)*((気管支鏡!$H$3-気管支鏡!$I$3)/気管支鏡!$H$3),0)</f>
        <v>0</v>
      </c>
      <c r="Y48" s="306">
        <f t="shared" si="0"/>
        <v>0</v>
      </c>
      <c r="Z48" s="305">
        <f>IFERROR(SUMIF(CT撮影装置!$C$30:$C$74,B48,CT撮影装置!$K$30:$K$74)*((CT撮影装置!$H$3-CT撮影装置!$I$3)/CT撮影装置!$H$3),0)</f>
        <v>0</v>
      </c>
      <c r="AA48" s="306">
        <f t="shared" si="15"/>
        <v>0</v>
      </c>
      <c r="AB48" s="305">
        <f>IFERROR(SUMIF(生体情報モニタ!$C$30:$C$74,B48,生体情報モニタ!$K$30:$K$74)*((生体情報モニタ!$H$3-生体情報モニタ!$I$3)/生体情報モニタ!$H$3),0)</f>
        <v>0</v>
      </c>
      <c r="AC48" s="306">
        <f t="shared" si="1"/>
        <v>0</v>
      </c>
      <c r="AD48" s="305">
        <f>IFERROR(SUMIF(分娩監視装置!$C$30:$C$74,B48,分娩監視装置!$K$30:$K$74)*((分娩監視装置!$H$3-分娩監視装置!$I$3)/分娩監視装置!$H$3),0)</f>
        <v>0</v>
      </c>
      <c r="AE48" s="306">
        <f t="shared" si="16"/>
        <v>0</v>
      </c>
      <c r="AF48" s="305">
        <f>IFERROR(SUMIF(新生児モニタ!$C$30:$C$74,B48,新生児モニタ!$K$30:$K$74)*((新生児モニタ!$H$3-新生児モニタ!$I$3)/新生児モニタ!$H$3),0)</f>
        <v>0</v>
      </c>
      <c r="AG48" s="306">
        <f t="shared" si="17"/>
        <v>0</v>
      </c>
    </row>
    <row r="49" spans="2:33">
      <c r="B49" s="283" t="s">
        <v>862</v>
      </c>
      <c r="C49" s="305">
        <f>IFERROR(SUMIF(初度設備!$C$30:$C$74,B49,初度設備!$K$30:$K$74)*((初度設備!$H$3-初度設備!$I$3)/初度設備!$H$3),0)</f>
        <v>0</v>
      </c>
      <c r="D49" s="306">
        <f t="shared" si="2"/>
        <v>0</v>
      </c>
      <c r="E49" s="305">
        <f>IFERROR(SUMIF(人工呼吸器!$C$30:$C$74,B49,人工呼吸器!$K$30:$K$74)*((人工呼吸器!$H$3-人工呼吸器!$I$3)/人工呼吸器!$H$3),0)</f>
        <v>0</v>
      </c>
      <c r="F49" s="306">
        <f t="shared" si="3"/>
        <v>0</v>
      </c>
      <c r="G49" s="306">
        <f t="shared" si="4"/>
        <v>0</v>
      </c>
      <c r="H49" s="306">
        <f t="shared" si="5"/>
        <v>0</v>
      </c>
      <c r="I49" s="305">
        <f>IFERROR(SUMIF(簡易陰圧装置!$C$30:$C$74,B49,簡易陰圧装置!$K$30:$K$74)*((簡易陰圧装置!$H$3-簡易陰圧装置!$I$3)/簡易陰圧装置!$H$3),0)</f>
        <v>0</v>
      </c>
      <c r="J49" s="306">
        <f t="shared" si="6"/>
        <v>0</v>
      </c>
      <c r="K49" s="305">
        <f>IFERROR(SUMIF(簡易ベッド!$C$30:$C$74,B49,簡易ベッド!$K$30:$K$74)*((簡易ベッド!$H$3-簡易ベッド!$I$3)/簡易ベッド!$H$3),0)</f>
        <v>0</v>
      </c>
      <c r="L49" s="306">
        <f t="shared" si="7"/>
        <v>0</v>
      </c>
      <c r="M49" s="305">
        <f>IFERROR(SUMIF(体外式膜型人工肺!$C$30:$C$74,B49,体外式膜型人工肺!$K$30:$K$74)*((体外式膜型人工肺!$H$3-体外式膜型人工肺!$I$3)/体外式膜型人工肺!$H$3),0)</f>
        <v>0</v>
      </c>
      <c r="N49" s="306">
        <f t="shared" si="8"/>
        <v>0</v>
      </c>
      <c r="O49" s="306">
        <f t="shared" si="9"/>
        <v>0</v>
      </c>
      <c r="P49" s="306">
        <f t="shared" si="10"/>
        <v>0</v>
      </c>
      <c r="Q49" s="305">
        <f>IFERROR(SUMIF(紫外線照射装置!$C$30:$C$74,B49,紫外線照射装置!$K$30:$K$74)*((紫外線照射装置!$H$3-紫外線照射装置!$I$3)/紫外線照射装置!$H$3),0)</f>
        <v>0</v>
      </c>
      <c r="R49" s="306">
        <f t="shared" si="11"/>
        <v>0</v>
      </c>
      <c r="S49" s="419">
        <f t="shared" si="12"/>
        <v>0</v>
      </c>
      <c r="T49" s="305">
        <f>IFERROR(SUMIF(超音波画像診断装置!$C$30:$C$74,B49,超音波画像診断装置!$K$30:$K$74)*((超音波画像診断装置!$H$3-超音波画像診断装置!$I$3)/超音波画像診断装置!$H$3),0)</f>
        <v>0</v>
      </c>
      <c r="U49" s="306">
        <f t="shared" si="13"/>
        <v>0</v>
      </c>
      <c r="V49" s="305">
        <f>IFERROR(SUMIF(血液浄化装置!$C$30:$C$74,B49,血液浄化装置!$K$30:$K$74)*((血液浄化装置!$H$3-血液浄化装置!$I$3)/血液浄化装置!$H$3),0)</f>
        <v>0</v>
      </c>
      <c r="W49" s="306">
        <f t="shared" si="14"/>
        <v>0</v>
      </c>
      <c r="X49" s="305">
        <f>IFERROR(SUMIF(気管支鏡!$C$30:$C$74,B49,気管支鏡!$K$30:$K$74)*((気管支鏡!$H$3-気管支鏡!$I$3)/気管支鏡!$H$3),0)</f>
        <v>0</v>
      </c>
      <c r="Y49" s="306">
        <f t="shared" si="0"/>
        <v>0</v>
      </c>
      <c r="Z49" s="305">
        <f>IFERROR(SUMIF(CT撮影装置!$C$30:$C$74,B49,CT撮影装置!$K$30:$K$74)*((CT撮影装置!$H$3-CT撮影装置!$I$3)/CT撮影装置!$H$3),0)</f>
        <v>0</v>
      </c>
      <c r="AA49" s="306">
        <f t="shared" si="15"/>
        <v>0</v>
      </c>
      <c r="AB49" s="305">
        <f>IFERROR(SUMIF(生体情報モニタ!$C$30:$C$74,B49,生体情報モニタ!$K$30:$K$74)*((生体情報モニタ!$H$3-生体情報モニタ!$I$3)/生体情報モニタ!$H$3),0)</f>
        <v>0</v>
      </c>
      <c r="AC49" s="306">
        <f t="shared" si="1"/>
        <v>0</v>
      </c>
      <c r="AD49" s="305">
        <f>IFERROR(SUMIF(分娩監視装置!$C$30:$C$74,B49,分娩監視装置!$K$30:$K$74)*((分娩監視装置!$H$3-分娩監視装置!$I$3)/分娩監視装置!$H$3),0)</f>
        <v>0</v>
      </c>
      <c r="AE49" s="306">
        <f t="shared" si="16"/>
        <v>0</v>
      </c>
      <c r="AF49" s="305">
        <f>IFERROR(SUMIF(新生児モニタ!$C$30:$C$74,B49,新生児モニタ!$K$30:$K$74)*((新生児モニタ!$H$3-新生児モニタ!$I$3)/新生児モニタ!$H$3),0)</f>
        <v>0</v>
      </c>
      <c r="AG49" s="306">
        <f t="shared" si="17"/>
        <v>0</v>
      </c>
    </row>
    <row r="50" spans="2:33">
      <c r="B50" s="283" t="s">
        <v>863</v>
      </c>
      <c r="C50" s="305">
        <f>IFERROR(SUMIF(初度設備!$C$30:$C$74,B50,初度設備!$K$30:$K$74)*((初度設備!$H$3-初度設備!$I$3)/初度設備!$H$3),0)</f>
        <v>0</v>
      </c>
      <c r="D50" s="306">
        <f t="shared" si="2"/>
        <v>0</v>
      </c>
      <c r="E50" s="305">
        <f>IFERROR(SUMIF(人工呼吸器!$C$30:$C$74,B50,人工呼吸器!$K$30:$K$74)*((人工呼吸器!$H$3-人工呼吸器!$I$3)/人工呼吸器!$H$3),0)</f>
        <v>0</v>
      </c>
      <c r="F50" s="306">
        <f t="shared" si="3"/>
        <v>0</v>
      </c>
      <c r="G50" s="306">
        <f t="shared" si="4"/>
        <v>0</v>
      </c>
      <c r="H50" s="306">
        <f t="shared" si="5"/>
        <v>0</v>
      </c>
      <c r="I50" s="305">
        <f>IFERROR(SUMIF(簡易陰圧装置!$C$30:$C$74,B50,簡易陰圧装置!$K$30:$K$74)*((簡易陰圧装置!$H$3-簡易陰圧装置!$I$3)/簡易陰圧装置!$H$3),0)</f>
        <v>0</v>
      </c>
      <c r="J50" s="306">
        <f t="shared" si="6"/>
        <v>0</v>
      </c>
      <c r="K50" s="305">
        <f>IFERROR(SUMIF(簡易ベッド!$C$30:$C$74,B50,簡易ベッド!$K$30:$K$74)*((簡易ベッド!$H$3-簡易ベッド!$I$3)/簡易ベッド!$H$3),0)</f>
        <v>0</v>
      </c>
      <c r="L50" s="306">
        <f t="shared" si="7"/>
        <v>0</v>
      </c>
      <c r="M50" s="305">
        <f>IFERROR(SUMIF(体外式膜型人工肺!$C$30:$C$74,B50,体外式膜型人工肺!$K$30:$K$74)*((体外式膜型人工肺!$H$3-体外式膜型人工肺!$I$3)/体外式膜型人工肺!$H$3),0)</f>
        <v>0</v>
      </c>
      <c r="N50" s="306">
        <f t="shared" si="8"/>
        <v>0</v>
      </c>
      <c r="O50" s="306">
        <f t="shared" si="9"/>
        <v>0</v>
      </c>
      <c r="P50" s="306">
        <f t="shared" si="10"/>
        <v>0</v>
      </c>
      <c r="Q50" s="305">
        <f>IFERROR(SUMIF(紫外線照射装置!$C$30:$C$74,B50,紫外線照射装置!$K$30:$K$74)*((紫外線照射装置!$H$3-紫外線照射装置!$I$3)/紫外線照射装置!$H$3),0)</f>
        <v>0</v>
      </c>
      <c r="R50" s="306">
        <f t="shared" si="11"/>
        <v>0</v>
      </c>
      <c r="S50" s="419">
        <f t="shared" si="12"/>
        <v>0</v>
      </c>
      <c r="T50" s="305">
        <f>IFERROR(SUMIF(超音波画像診断装置!$C$30:$C$74,B50,超音波画像診断装置!$K$30:$K$74)*((超音波画像診断装置!$H$3-超音波画像診断装置!$I$3)/超音波画像診断装置!$H$3),0)</f>
        <v>0</v>
      </c>
      <c r="U50" s="306">
        <f t="shared" si="13"/>
        <v>0</v>
      </c>
      <c r="V50" s="305">
        <f>IFERROR(SUMIF(血液浄化装置!$C$30:$C$74,B50,血液浄化装置!$K$30:$K$74)*((血液浄化装置!$H$3-血液浄化装置!$I$3)/血液浄化装置!$H$3),0)</f>
        <v>0</v>
      </c>
      <c r="W50" s="306">
        <f t="shared" si="14"/>
        <v>0</v>
      </c>
      <c r="X50" s="305">
        <f>IFERROR(SUMIF(気管支鏡!$C$30:$C$74,B50,気管支鏡!$K$30:$K$74)*((気管支鏡!$H$3-気管支鏡!$I$3)/気管支鏡!$H$3),0)</f>
        <v>0</v>
      </c>
      <c r="Y50" s="306">
        <f t="shared" si="0"/>
        <v>0</v>
      </c>
      <c r="Z50" s="305">
        <f>IFERROR(SUMIF(CT撮影装置!$C$30:$C$74,B50,CT撮影装置!$K$30:$K$74)*((CT撮影装置!$H$3-CT撮影装置!$I$3)/CT撮影装置!$H$3),0)</f>
        <v>0</v>
      </c>
      <c r="AA50" s="306">
        <f t="shared" si="15"/>
        <v>0</v>
      </c>
      <c r="AB50" s="305">
        <f>IFERROR(SUMIF(生体情報モニタ!$C$30:$C$74,B50,生体情報モニタ!$K$30:$K$74)*((生体情報モニタ!$H$3-生体情報モニタ!$I$3)/生体情報モニタ!$H$3),0)</f>
        <v>0</v>
      </c>
      <c r="AC50" s="306">
        <f t="shared" si="1"/>
        <v>0</v>
      </c>
      <c r="AD50" s="305">
        <f>IFERROR(SUMIF(分娩監視装置!$C$30:$C$74,B50,分娩監視装置!$K$30:$K$74)*((分娩監視装置!$H$3-分娩監視装置!$I$3)/分娩監視装置!$H$3),0)</f>
        <v>0</v>
      </c>
      <c r="AE50" s="306">
        <f t="shared" si="16"/>
        <v>0</v>
      </c>
      <c r="AF50" s="305">
        <f>IFERROR(SUMIF(新生児モニタ!$C$30:$C$74,B50,新生児モニタ!$K$30:$K$74)*((新生児モニタ!$H$3-新生児モニタ!$I$3)/新生児モニタ!$H$3),0)</f>
        <v>0</v>
      </c>
      <c r="AG50" s="306">
        <f t="shared" si="17"/>
        <v>0</v>
      </c>
    </row>
    <row r="51" spans="2:33">
      <c r="B51" s="283" t="s">
        <v>864</v>
      </c>
      <c r="C51" s="305">
        <f>IFERROR(SUMIF(初度設備!$C$30:$C$74,B51,初度設備!$K$30:$K$74)*((初度設備!$H$3-初度設備!$I$3)/初度設備!$H$3),0)</f>
        <v>0</v>
      </c>
      <c r="D51" s="306">
        <f t="shared" si="2"/>
        <v>0</v>
      </c>
      <c r="E51" s="305">
        <f>IFERROR(SUMIF(人工呼吸器!$C$30:$C$74,B51,人工呼吸器!$K$30:$K$74)*((人工呼吸器!$H$3-人工呼吸器!$I$3)/人工呼吸器!$H$3),0)</f>
        <v>0</v>
      </c>
      <c r="F51" s="306">
        <f t="shared" si="3"/>
        <v>0</v>
      </c>
      <c r="G51" s="306">
        <f t="shared" si="4"/>
        <v>0</v>
      </c>
      <c r="H51" s="306">
        <f t="shared" si="5"/>
        <v>0</v>
      </c>
      <c r="I51" s="305">
        <f>IFERROR(SUMIF(簡易陰圧装置!$C$30:$C$74,B51,簡易陰圧装置!$K$30:$K$74)*((簡易陰圧装置!$H$3-簡易陰圧装置!$I$3)/簡易陰圧装置!$H$3),0)</f>
        <v>0</v>
      </c>
      <c r="J51" s="306">
        <f t="shared" si="6"/>
        <v>0</v>
      </c>
      <c r="K51" s="305">
        <f>IFERROR(SUMIF(簡易ベッド!$C$30:$C$74,B51,簡易ベッド!$K$30:$K$74)*((簡易ベッド!$H$3-簡易ベッド!$I$3)/簡易ベッド!$H$3),0)</f>
        <v>0</v>
      </c>
      <c r="L51" s="306">
        <f t="shared" si="7"/>
        <v>0</v>
      </c>
      <c r="M51" s="305">
        <f>IFERROR(SUMIF(体外式膜型人工肺!$C$30:$C$74,B51,体外式膜型人工肺!$K$30:$K$74)*((体外式膜型人工肺!$H$3-体外式膜型人工肺!$I$3)/体外式膜型人工肺!$H$3),0)</f>
        <v>0</v>
      </c>
      <c r="N51" s="306">
        <f t="shared" si="8"/>
        <v>0</v>
      </c>
      <c r="O51" s="306">
        <f t="shared" si="9"/>
        <v>0</v>
      </c>
      <c r="P51" s="306">
        <f t="shared" si="10"/>
        <v>0</v>
      </c>
      <c r="Q51" s="305">
        <f>IFERROR(SUMIF(紫外線照射装置!$C$30:$C$74,B51,紫外線照射装置!$K$30:$K$74)*((紫外線照射装置!$H$3-紫外線照射装置!$I$3)/紫外線照射装置!$H$3),0)</f>
        <v>0</v>
      </c>
      <c r="R51" s="306">
        <f t="shared" si="11"/>
        <v>0</v>
      </c>
      <c r="S51" s="419">
        <f t="shared" si="12"/>
        <v>0</v>
      </c>
      <c r="T51" s="305">
        <f>IFERROR(SUMIF(超音波画像診断装置!$C$30:$C$74,B51,超音波画像診断装置!$K$30:$K$74)*((超音波画像診断装置!$H$3-超音波画像診断装置!$I$3)/超音波画像診断装置!$H$3),0)</f>
        <v>0</v>
      </c>
      <c r="U51" s="306">
        <f t="shared" si="13"/>
        <v>0</v>
      </c>
      <c r="V51" s="305">
        <f>IFERROR(SUMIF(血液浄化装置!$C$30:$C$74,B51,血液浄化装置!$K$30:$K$74)*((血液浄化装置!$H$3-血液浄化装置!$I$3)/血液浄化装置!$H$3),0)</f>
        <v>0</v>
      </c>
      <c r="W51" s="306">
        <f t="shared" si="14"/>
        <v>0</v>
      </c>
      <c r="X51" s="305">
        <f>IFERROR(SUMIF(気管支鏡!$C$30:$C$74,B51,気管支鏡!$K$30:$K$74)*((気管支鏡!$H$3-気管支鏡!$I$3)/気管支鏡!$H$3),0)</f>
        <v>0</v>
      </c>
      <c r="Y51" s="306">
        <f t="shared" si="0"/>
        <v>0</v>
      </c>
      <c r="Z51" s="305">
        <f>IFERROR(SUMIF(CT撮影装置!$C$30:$C$74,B51,CT撮影装置!$K$30:$K$74)*((CT撮影装置!$H$3-CT撮影装置!$I$3)/CT撮影装置!$H$3),0)</f>
        <v>0</v>
      </c>
      <c r="AA51" s="306">
        <f t="shared" si="15"/>
        <v>0</v>
      </c>
      <c r="AB51" s="305">
        <f>IFERROR(SUMIF(生体情報モニタ!$C$30:$C$74,B51,生体情報モニタ!$K$30:$K$74)*((生体情報モニタ!$H$3-生体情報モニタ!$I$3)/生体情報モニタ!$H$3),0)</f>
        <v>0</v>
      </c>
      <c r="AC51" s="306">
        <f t="shared" si="1"/>
        <v>0</v>
      </c>
      <c r="AD51" s="305">
        <f>IFERROR(SUMIF(分娩監視装置!$C$30:$C$74,B51,分娩監視装置!$K$30:$K$74)*((分娩監視装置!$H$3-分娩監視装置!$I$3)/分娩監視装置!$H$3),0)</f>
        <v>0</v>
      </c>
      <c r="AE51" s="306">
        <f t="shared" si="16"/>
        <v>0</v>
      </c>
      <c r="AF51" s="305">
        <f>IFERROR(SUMIF(新生児モニタ!$C$30:$C$74,B51,新生児モニタ!$K$30:$K$74)*((新生児モニタ!$H$3-新生児モニタ!$I$3)/新生児モニタ!$H$3),0)</f>
        <v>0</v>
      </c>
      <c r="AG51" s="306">
        <f t="shared" si="17"/>
        <v>0</v>
      </c>
    </row>
    <row r="52" spans="2:33">
      <c r="B52" s="283" t="s">
        <v>865</v>
      </c>
      <c r="C52" s="305">
        <f>IFERROR(SUMIF(初度設備!$C$30:$C$74,B52,初度設備!$K$30:$K$74)*((初度設備!$H$3-初度設備!$I$3)/初度設備!$H$3),0)</f>
        <v>0</v>
      </c>
      <c r="D52" s="306">
        <f t="shared" si="2"/>
        <v>0</v>
      </c>
      <c r="E52" s="305">
        <f>IFERROR(SUMIF(人工呼吸器!$C$30:$C$74,B52,人工呼吸器!$K$30:$K$74)*((人工呼吸器!$H$3-人工呼吸器!$I$3)/人工呼吸器!$H$3),0)</f>
        <v>0</v>
      </c>
      <c r="F52" s="306">
        <f t="shared" si="3"/>
        <v>0</v>
      </c>
      <c r="G52" s="306">
        <f t="shared" si="4"/>
        <v>0</v>
      </c>
      <c r="H52" s="306">
        <f t="shared" si="5"/>
        <v>0</v>
      </c>
      <c r="I52" s="305">
        <f>IFERROR(SUMIF(簡易陰圧装置!$C$30:$C$74,B52,簡易陰圧装置!$K$30:$K$74)*((簡易陰圧装置!$H$3-簡易陰圧装置!$I$3)/簡易陰圧装置!$H$3),0)</f>
        <v>0</v>
      </c>
      <c r="J52" s="306">
        <f t="shared" si="6"/>
        <v>0</v>
      </c>
      <c r="K52" s="305">
        <f>IFERROR(SUMIF(簡易ベッド!$C$30:$C$74,B52,簡易ベッド!$K$30:$K$74)*((簡易ベッド!$H$3-簡易ベッド!$I$3)/簡易ベッド!$H$3),0)</f>
        <v>0</v>
      </c>
      <c r="L52" s="306">
        <f t="shared" si="7"/>
        <v>0</v>
      </c>
      <c r="M52" s="305">
        <f>IFERROR(SUMIF(体外式膜型人工肺!$C$30:$C$74,B52,体外式膜型人工肺!$K$30:$K$74)*((体外式膜型人工肺!$H$3-体外式膜型人工肺!$I$3)/体外式膜型人工肺!$H$3),0)</f>
        <v>0</v>
      </c>
      <c r="N52" s="306">
        <f t="shared" si="8"/>
        <v>0</v>
      </c>
      <c r="O52" s="306">
        <f t="shared" si="9"/>
        <v>0</v>
      </c>
      <c r="P52" s="306">
        <f t="shared" si="10"/>
        <v>0</v>
      </c>
      <c r="Q52" s="305">
        <f>IFERROR(SUMIF(紫外線照射装置!$C$30:$C$74,B52,紫外線照射装置!$K$30:$K$74)*((紫外線照射装置!$H$3-紫外線照射装置!$I$3)/紫外線照射装置!$H$3),0)</f>
        <v>0</v>
      </c>
      <c r="R52" s="306">
        <f t="shared" si="11"/>
        <v>0</v>
      </c>
      <c r="S52" s="419">
        <f t="shared" si="12"/>
        <v>0</v>
      </c>
      <c r="T52" s="305">
        <f>IFERROR(SUMIF(超音波画像診断装置!$C$30:$C$74,B52,超音波画像診断装置!$K$30:$K$74)*((超音波画像診断装置!$H$3-超音波画像診断装置!$I$3)/超音波画像診断装置!$H$3),0)</f>
        <v>0</v>
      </c>
      <c r="U52" s="306">
        <f t="shared" si="13"/>
        <v>0</v>
      </c>
      <c r="V52" s="305">
        <f>IFERROR(SUMIF(血液浄化装置!$C$30:$C$74,B52,血液浄化装置!$K$30:$K$74)*((血液浄化装置!$H$3-血液浄化装置!$I$3)/血液浄化装置!$H$3),0)</f>
        <v>0</v>
      </c>
      <c r="W52" s="306">
        <f t="shared" si="14"/>
        <v>0</v>
      </c>
      <c r="X52" s="305">
        <f>IFERROR(SUMIF(気管支鏡!$C$30:$C$74,B52,気管支鏡!$K$30:$K$74)*((気管支鏡!$H$3-気管支鏡!$I$3)/気管支鏡!$H$3),0)</f>
        <v>0</v>
      </c>
      <c r="Y52" s="306">
        <f t="shared" si="0"/>
        <v>0</v>
      </c>
      <c r="Z52" s="305">
        <f>IFERROR(SUMIF(CT撮影装置!$C$30:$C$74,B52,CT撮影装置!$K$30:$K$74)*((CT撮影装置!$H$3-CT撮影装置!$I$3)/CT撮影装置!$H$3),0)</f>
        <v>0</v>
      </c>
      <c r="AA52" s="306">
        <f t="shared" si="15"/>
        <v>0</v>
      </c>
      <c r="AB52" s="305">
        <f>IFERROR(SUMIF(生体情報モニタ!$C$30:$C$74,B52,生体情報モニタ!$K$30:$K$74)*((生体情報モニタ!$H$3-生体情報モニタ!$I$3)/生体情報モニタ!$H$3),0)</f>
        <v>0</v>
      </c>
      <c r="AC52" s="306">
        <f t="shared" si="1"/>
        <v>0</v>
      </c>
      <c r="AD52" s="305">
        <f>IFERROR(SUMIF(分娩監視装置!$C$30:$C$74,B52,分娩監視装置!$K$30:$K$74)*((分娩監視装置!$H$3-分娩監視装置!$I$3)/分娩監視装置!$H$3),0)</f>
        <v>0</v>
      </c>
      <c r="AE52" s="306">
        <f t="shared" si="16"/>
        <v>0</v>
      </c>
      <c r="AF52" s="305">
        <f>IFERROR(SUMIF(新生児モニタ!$C$30:$C$74,B52,新生児モニタ!$K$30:$K$74)*((新生児モニタ!$H$3-新生児モニタ!$I$3)/新生児モニタ!$H$3),0)</f>
        <v>0</v>
      </c>
      <c r="AG52" s="306">
        <f t="shared" si="17"/>
        <v>0</v>
      </c>
    </row>
    <row r="53" spans="2:33">
      <c r="B53" s="283" t="s">
        <v>866</v>
      </c>
      <c r="C53" s="305">
        <f>IFERROR(SUMIF(初度設備!$C$30:$C$74,B53,初度設備!$K$30:$K$74)*((初度設備!$H$3-初度設備!$I$3)/初度設備!$H$3),0)</f>
        <v>0</v>
      </c>
      <c r="D53" s="306">
        <f t="shared" si="2"/>
        <v>0</v>
      </c>
      <c r="E53" s="305">
        <f>IFERROR(SUMIF(人工呼吸器!$C$30:$C$74,B53,人工呼吸器!$K$30:$K$74)*((人工呼吸器!$H$3-人工呼吸器!$I$3)/人工呼吸器!$H$3),0)</f>
        <v>0</v>
      </c>
      <c r="F53" s="306">
        <f t="shared" si="3"/>
        <v>0</v>
      </c>
      <c r="G53" s="306">
        <f t="shared" si="4"/>
        <v>0</v>
      </c>
      <c r="H53" s="306">
        <f t="shared" si="5"/>
        <v>0</v>
      </c>
      <c r="I53" s="305">
        <f>IFERROR(SUMIF(簡易陰圧装置!$C$30:$C$74,B53,簡易陰圧装置!$K$30:$K$74)*((簡易陰圧装置!$H$3-簡易陰圧装置!$I$3)/簡易陰圧装置!$H$3),0)</f>
        <v>0</v>
      </c>
      <c r="J53" s="306">
        <f t="shared" si="6"/>
        <v>0</v>
      </c>
      <c r="K53" s="305">
        <f>IFERROR(SUMIF(簡易ベッド!$C$30:$C$74,B53,簡易ベッド!$K$30:$K$74)*((簡易ベッド!$H$3-簡易ベッド!$I$3)/簡易ベッド!$H$3),0)</f>
        <v>0</v>
      </c>
      <c r="L53" s="306">
        <f t="shared" si="7"/>
        <v>0</v>
      </c>
      <c r="M53" s="305">
        <f>IFERROR(SUMIF(体外式膜型人工肺!$C$30:$C$74,B53,体外式膜型人工肺!$K$30:$K$74)*((体外式膜型人工肺!$H$3-体外式膜型人工肺!$I$3)/体外式膜型人工肺!$H$3),0)</f>
        <v>0</v>
      </c>
      <c r="N53" s="306">
        <f t="shared" si="8"/>
        <v>0</v>
      </c>
      <c r="O53" s="306">
        <f t="shared" si="9"/>
        <v>0</v>
      </c>
      <c r="P53" s="306">
        <f t="shared" si="10"/>
        <v>0</v>
      </c>
      <c r="Q53" s="305">
        <f>IFERROR(SUMIF(紫外線照射装置!$C$30:$C$74,B53,紫外線照射装置!$K$30:$K$74)*((紫外線照射装置!$H$3-紫外線照射装置!$I$3)/紫外線照射装置!$H$3),0)</f>
        <v>0</v>
      </c>
      <c r="R53" s="306">
        <f t="shared" si="11"/>
        <v>0</v>
      </c>
      <c r="S53" s="419">
        <f t="shared" si="12"/>
        <v>0</v>
      </c>
      <c r="T53" s="305">
        <f>IFERROR(SUMIF(超音波画像診断装置!$C$30:$C$74,B53,超音波画像診断装置!$K$30:$K$74)*((超音波画像診断装置!$H$3-超音波画像診断装置!$I$3)/超音波画像診断装置!$H$3),0)</f>
        <v>0</v>
      </c>
      <c r="U53" s="306">
        <f t="shared" si="13"/>
        <v>0</v>
      </c>
      <c r="V53" s="305">
        <f>IFERROR(SUMIF(血液浄化装置!$C$30:$C$74,B53,血液浄化装置!$K$30:$K$74)*((血液浄化装置!$H$3-血液浄化装置!$I$3)/血液浄化装置!$H$3),0)</f>
        <v>0</v>
      </c>
      <c r="W53" s="306">
        <f t="shared" si="14"/>
        <v>0</v>
      </c>
      <c r="X53" s="305">
        <f>IFERROR(SUMIF(気管支鏡!$C$30:$C$74,B53,気管支鏡!$K$30:$K$74)*((気管支鏡!$H$3-気管支鏡!$I$3)/気管支鏡!$H$3),0)</f>
        <v>0</v>
      </c>
      <c r="Y53" s="306">
        <f t="shared" si="0"/>
        <v>0</v>
      </c>
      <c r="Z53" s="305">
        <f>IFERROR(SUMIF(CT撮影装置!$C$30:$C$74,B53,CT撮影装置!$K$30:$K$74)*((CT撮影装置!$H$3-CT撮影装置!$I$3)/CT撮影装置!$H$3),0)</f>
        <v>0</v>
      </c>
      <c r="AA53" s="306">
        <f t="shared" si="15"/>
        <v>0</v>
      </c>
      <c r="AB53" s="305">
        <f>IFERROR(SUMIF(生体情報モニタ!$C$30:$C$74,B53,生体情報モニタ!$K$30:$K$74)*((生体情報モニタ!$H$3-生体情報モニタ!$I$3)/生体情報モニタ!$H$3),0)</f>
        <v>0</v>
      </c>
      <c r="AC53" s="306">
        <f t="shared" si="1"/>
        <v>0</v>
      </c>
      <c r="AD53" s="305">
        <f>IFERROR(SUMIF(分娩監視装置!$C$30:$C$74,B53,分娩監視装置!$K$30:$K$74)*((分娩監視装置!$H$3-分娩監視装置!$I$3)/分娩監視装置!$H$3),0)</f>
        <v>0</v>
      </c>
      <c r="AE53" s="306">
        <f t="shared" si="16"/>
        <v>0</v>
      </c>
      <c r="AF53" s="305">
        <f>IFERROR(SUMIF(新生児モニタ!$C$30:$C$74,B53,新生児モニタ!$K$30:$K$74)*((新生児モニタ!$H$3-新生児モニタ!$I$3)/新生児モニタ!$H$3),0)</f>
        <v>0</v>
      </c>
      <c r="AG53" s="306">
        <f t="shared" si="17"/>
        <v>0</v>
      </c>
    </row>
    <row r="54" spans="2:33">
      <c r="B54" s="283" t="s">
        <v>867</v>
      </c>
      <c r="C54" s="305">
        <f>IFERROR(SUMIF(初度設備!$C$30:$C$74,B54,初度設備!$K$30:$K$74)*((初度設備!$H$3-初度設備!$I$3)/初度設備!$H$3),0)</f>
        <v>0</v>
      </c>
      <c r="D54" s="306">
        <f t="shared" si="2"/>
        <v>0</v>
      </c>
      <c r="E54" s="305">
        <f>IFERROR(SUMIF(人工呼吸器!$C$30:$C$74,B54,人工呼吸器!$K$30:$K$74)*((人工呼吸器!$H$3-人工呼吸器!$I$3)/人工呼吸器!$H$3),0)</f>
        <v>0</v>
      </c>
      <c r="F54" s="306">
        <f t="shared" si="3"/>
        <v>0</v>
      </c>
      <c r="G54" s="306">
        <f t="shared" si="4"/>
        <v>0</v>
      </c>
      <c r="H54" s="306">
        <f t="shared" si="5"/>
        <v>0</v>
      </c>
      <c r="I54" s="305">
        <f>IFERROR(SUMIF(簡易陰圧装置!$C$30:$C$74,B54,簡易陰圧装置!$K$30:$K$74)*((簡易陰圧装置!$H$3-簡易陰圧装置!$I$3)/簡易陰圧装置!$H$3),0)</f>
        <v>0</v>
      </c>
      <c r="J54" s="306">
        <f t="shared" si="6"/>
        <v>0</v>
      </c>
      <c r="K54" s="305">
        <f>IFERROR(SUMIF(簡易ベッド!$C$30:$C$74,B54,簡易ベッド!$K$30:$K$74)*((簡易ベッド!$H$3-簡易ベッド!$I$3)/簡易ベッド!$H$3),0)</f>
        <v>0</v>
      </c>
      <c r="L54" s="306">
        <f t="shared" si="7"/>
        <v>0</v>
      </c>
      <c r="M54" s="305">
        <f>IFERROR(SUMIF(体外式膜型人工肺!$C$30:$C$74,B54,体外式膜型人工肺!$K$30:$K$74)*((体外式膜型人工肺!$H$3-体外式膜型人工肺!$I$3)/体外式膜型人工肺!$H$3),0)</f>
        <v>0</v>
      </c>
      <c r="N54" s="306">
        <f t="shared" si="8"/>
        <v>0</v>
      </c>
      <c r="O54" s="306">
        <f t="shared" si="9"/>
        <v>0</v>
      </c>
      <c r="P54" s="306">
        <f t="shared" si="10"/>
        <v>0</v>
      </c>
      <c r="Q54" s="305">
        <f>IFERROR(SUMIF(紫外線照射装置!$C$30:$C$74,B54,紫外線照射装置!$K$30:$K$74)*((紫外線照射装置!$H$3-紫外線照射装置!$I$3)/紫外線照射装置!$H$3),0)</f>
        <v>0</v>
      </c>
      <c r="R54" s="306">
        <f t="shared" si="11"/>
        <v>0</v>
      </c>
      <c r="S54" s="419">
        <f t="shared" si="12"/>
        <v>0</v>
      </c>
      <c r="T54" s="305">
        <f>IFERROR(SUMIF(超音波画像診断装置!$C$30:$C$74,B54,超音波画像診断装置!$K$30:$K$74)*((超音波画像診断装置!$H$3-超音波画像診断装置!$I$3)/超音波画像診断装置!$H$3),0)</f>
        <v>0</v>
      </c>
      <c r="U54" s="306">
        <f t="shared" si="13"/>
        <v>0</v>
      </c>
      <c r="V54" s="305">
        <f>IFERROR(SUMIF(血液浄化装置!$C$30:$C$74,B54,血液浄化装置!$K$30:$K$74)*((血液浄化装置!$H$3-血液浄化装置!$I$3)/血液浄化装置!$H$3),0)</f>
        <v>0</v>
      </c>
      <c r="W54" s="306">
        <f t="shared" si="14"/>
        <v>0</v>
      </c>
      <c r="X54" s="305">
        <f>IFERROR(SUMIF(気管支鏡!$C$30:$C$74,B54,気管支鏡!$K$30:$K$74)*((気管支鏡!$H$3-気管支鏡!$I$3)/気管支鏡!$H$3),0)</f>
        <v>0</v>
      </c>
      <c r="Y54" s="306">
        <f t="shared" si="0"/>
        <v>0</v>
      </c>
      <c r="Z54" s="305">
        <f>IFERROR(SUMIF(CT撮影装置!$C$30:$C$74,B54,CT撮影装置!$K$30:$K$74)*((CT撮影装置!$H$3-CT撮影装置!$I$3)/CT撮影装置!$H$3),0)</f>
        <v>0</v>
      </c>
      <c r="AA54" s="306">
        <f t="shared" si="15"/>
        <v>0</v>
      </c>
      <c r="AB54" s="305">
        <f>IFERROR(SUMIF(生体情報モニタ!$C$30:$C$74,B54,生体情報モニタ!$K$30:$K$74)*((生体情報モニタ!$H$3-生体情報モニタ!$I$3)/生体情報モニタ!$H$3),0)</f>
        <v>0</v>
      </c>
      <c r="AC54" s="306">
        <f t="shared" si="1"/>
        <v>0</v>
      </c>
      <c r="AD54" s="305">
        <f>IFERROR(SUMIF(分娩監視装置!$C$30:$C$74,B54,分娩監視装置!$K$30:$K$74)*((分娩監視装置!$H$3-分娩監視装置!$I$3)/分娩監視装置!$H$3),0)</f>
        <v>0</v>
      </c>
      <c r="AE54" s="306">
        <f t="shared" si="16"/>
        <v>0</v>
      </c>
      <c r="AF54" s="305">
        <f>IFERROR(SUMIF(新生児モニタ!$C$30:$C$74,B54,新生児モニタ!$K$30:$K$74)*((新生児モニタ!$H$3-新生児モニタ!$I$3)/新生児モニタ!$H$3),0)</f>
        <v>0</v>
      </c>
      <c r="AG54" s="306">
        <f t="shared" si="17"/>
        <v>0</v>
      </c>
    </row>
    <row r="55" spans="2:33">
      <c r="B55" s="283" t="s">
        <v>868</v>
      </c>
      <c r="C55" s="305">
        <f>IFERROR(SUMIF(初度設備!$C$30:$C$74,B55,初度設備!$K$30:$K$74)*((初度設備!$H$3-初度設備!$I$3)/初度設備!$H$3),0)</f>
        <v>0</v>
      </c>
      <c r="D55" s="306">
        <f t="shared" si="2"/>
        <v>0</v>
      </c>
      <c r="E55" s="305">
        <f>IFERROR(SUMIF(人工呼吸器!$C$30:$C$74,B55,人工呼吸器!$K$30:$K$74)*((人工呼吸器!$H$3-人工呼吸器!$I$3)/人工呼吸器!$H$3),0)</f>
        <v>0</v>
      </c>
      <c r="F55" s="306">
        <f t="shared" si="3"/>
        <v>0</v>
      </c>
      <c r="G55" s="306">
        <f t="shared" si="4"/>
        <v>0</v>
      </c>
      <c r="H55" s="306">
        <f t="shared" si="5"/>
        <v>0</v>
      </c>
      <c r="I55" s="305">
        <f>IFERROR(SUMIF(簡易陰圧装置!$C$30:$C$74,B55,簡易陰圧装置!$K$30:$K$74)*((簡易陰圧装置!$H$3-簡易陰圧装置!$I$3)/簡易陰圧装置!$H$3),0)</f>
        <v>0</v>
      </c>
      <c r="J55" s="306">
        <f t="shared" si="6"/>
        <v>0</v>
      </c>
      <c r="K55" s="305">
        <f>IFERROR(SUMIF(簡易ベッド!$C$30:$C$74,B55,簡易ベッド!$K$30:$K$74)*((簡易ベッド!$H$3-簡易ベッド!$I$3)/簡易ベッド!$H$3),0)</f>
        <v>0</v>
      </c>
      <c r="L55" s="306">
        <f t="shared" si="7"/>
        <v>0</v>
      </c>
      <c r="M55" s="305">
        <f>IFERROR(SUMIF(体外式膜型人工肺!$C$30:$C$74,B55,体外式膜型人工肺!$K$30:$K$74)*((体外式膜型人工肺!$H$3-体外式膜型人工肺!$I$3)/体外式膜型人工肺!$H$3),0)</f>
        <v>0</v>
      </c>
      <c r="N55" s="306">
        <f t="shared" si="8"/>
        <v>0</v>
      </c>
      <c r="O55" s="306">
        <f t="shared" si="9"/>
        <v>0</v>
      </c>
      <c r="P55" s="306">
        <f t="shared" si="10"/>
        <v>0</v>
      </c>
      <c r="Q55" s="305">
        <f>IFERROR(SUMIF(紫外線照射装置!$C$30:$C$74,B55,紫外線照射装置!$K$30:$K$74)*((紫外線照射装置!$H$3-紫外線照射装置!$I$3)/紫外線照射装置!$H$3),0)</f>
        <v>0</v>
      </c>
      <c r="R55" s="306">
        <f t="shared" si="11"/>
        <v>0</v>
      </c>
      <c r="S55" s="419">
        <f t="shared" si="12"/>
        <v>0</v>
      </c>
      <c r="T55" s="305">
        <f>IFERROR(SUMIF(超音波画像診断装置!$C$30:$C$74,B55,超音波画像診断装置!$K$30:$K$74)*((超音波画像診断装置!$H$3-超音波画像診断装置!$I$3)/超音波画像診断装置!$H$3),0)</f>
        <v>0</v>
      </c>
      <c r="U55" s="306">
        <f t="shared" si="13"/>
        <v>0</v>
      </c>
      <c r="V55" s="305">
        <f>IFERROR(SUMIF(血液浄化装置!$C$30:$C$74,B55,血液浄化装置!$K$30:$K$74)*((血液浄化装置!$H$3-血液浄化装置!$I$3)/血液浄化装置!$H$3),0)</f>
        <v>0</v>
      </c>
      <c r="W55" s="306">
        <f t="shared" si="14"/>
        <v>0</v>
      </c>
      <c r="X55" s="305">
        <f>IFERROR(SUMIF(気管支鏡!$C$30:$C$74,B55,気管支鏡!$K$30:$K$74)*((気管支鏡!$H$3-気管支鏡!$I$3)/気管支鏡!$H$3),0)</f>
        <v>0</v>
      </c>
      <c r="Y55" s="306">
        <f t="shared" si="0"/>
        <v>0</v>
      </c>
      <c r="Z55" s="305">
        <f>IFERROR(SUMIF(CT撮影装置!$C$30:$C$74,B55,CT撮影装置!$K$30:$K$74)*((CT撮影装置!$H$3-CT撮影装置!$I$3)/CT撮影装置!$H$3),0)</f>
        <v>0</v>
      </c>
      <c r="AA55" s="306">
        <f t="shared" si="15"/>
        <v>0</v>
      </c>
      <c r="AB55" s="305">
        <f>IFERROR(SUMIF(生体情報モニタ!$C$30:$C$74,B55,生体情報モニタ!$K$30:$K$74)*((生体情報モニタ!$H$3-生体情報モニタ!$I$3)/生体情報モニタ!$H$3),0)</f>
        <v>0</v>
      </c>
      <c r="AC55" s="306">
        <f t="shared" si="1"/>
        <v>0</v>
      </c>
      <c r="AD55" s="305">
        <f>IFERROR(SUMIF(分娩監視装置!$C$30:$C$74,B55,分娩監視装置!$K$30:$K$74)*((分娩監視装置!$H$3-分娩監視装置!$I$3)/分娩監視装置!$H$3),0)</f>
        <v>0</v>
      </c>
      <c r="AE55" s="306">
        <f t="shared" si="16"/>
        <v>0</v>
      </c>
      <c r="AF55" s="305">
        <f>IFERROR(SUMIF(新生児モニタ!$C$30:$C$74,B55,新生児モニタ!$K$30:$K$74)*((新生児モニタ!$H$3-新生児モニタ!$I$3)/新生児モニタ!$H$3),0)</f>
        <v>0</v>
      </c>
      <c r="AG55" s="306">
        <f t="shared" si="17"/>
        <v>0</v>
      </c>
    </row>
    <row r="56" spans="2:33">
      <c r="B56" s="283" t="s">
        <v>869</v>
      </c>
      <c r="C56" s="305">
        <f>IFERROR(SUMIF(初度設備!$C$30:$C$74,B56,初度設備!$K$30:$K$74)*((初度設備!$H$3-初度設備!$I$3)/初度設備!$H$3),0)</f>
        <v>0</v>
      </c>
      <c r="D56" s="306">
        <f t="shared" si="2"/>
        <v>0</v>
      </c>
      <c r="E56" s="305">
        <f>IFERROR(SUMIF(人工呼吸器!$C$30:$C$74,B56,人工呼吸器!$K$30:$K$74)*((人工呼吸器!$H$3-人工呼吸器!$I$3)/人工呼吸器!$H$3),0)</f>
        <v>0</v>
      </c>
      <c r="F56" s="306">
        <f t="shared" si="3"/>
        <v>0</v>
      </c>
      <c r="G56" s="306">
        <f t="shared" si="4"/>
        <v>0</v>
      </c>
      <c r="H56" s="306">
        <f t="shared" si="5"/>
        <v>0</v>
      </c>
      <c r="I56" s="305">
        <f>IFERROR(SUMIF(簡易陰圧装置!$C$30:$C$74,B56,簡易陰圧装置!$K$30:$K$74)*((簡易陰圧装置!$H$3-簡易陰圧装置!$I$3)/簡易陰圧装置!$H$3),0)</f>
        <v>0</v>
      </c>
      <c r="J56" s="306">
        <f t="shared" si="6"/>
        <v>0</v>
      </c>
      <c r="K56" s="305">
        <f>IFERROR(SUMIF(簡易ベッド!$C$30:$C$74,B56,簡易ベッド!$K$30:$K$74)*((簡易ベッド!$H$3-簡易ベッド!$I$3)/簡易ベッド!$H$3),0)</f>
        <v>0</v>
      </c>
      <c r="L56" s="306">
        <f t="shared" si="7"/>
        <v>0</v>
      </c>
      <c r="M56" s="305">
        <f>IFERROR(SUMIF(体外式膜型人工肺!$C$30:$C$74,B56,体外式膜型人工肺!$K$30:$K$74)*((体外式膜型人工肺!$H$3-体外式膜型人工肺!$I$3)/体外式膜型人工肺!$H$3),0)</f>
        <v>0</v>
      </c>
      <c r="N56" s="306">
        <f t="shared" si="8"/>
        <v>0</v>
      </c>
      <c r="O56" s="306">
        <f t="shared" si="9"/>
        <v>0</v>
      </c>
      <c r="P56" s="306">
        <f t="shared" si="10"/>
        <v>0</v>
      </c>
      <c r="Q56" s="305">
        <f>IFERROR(SUMIF(紫外線照射装置!$C$30:$C$74,B56,紫外線照射装置!$K$30:$K$74)*((紫外線照射装置!$H$3-紫外線照射装置!$I$3)/紫外線照射装置!$H$3),0)</f>
        <v>0</v>
      </c>
      <c r="R56" s="306">
        <f t="shared" si="11"/>
        <v>0</v>
      </c>
      <c r="S56" s="419">
        <f t="shared" si="12"/>
        <v>0</v>
      </c>
      <c r="T56" s="305">
        <f>IFERROR(SUMIF(超音波画像診断装置!$C$30:$C$74,B56,超音波画像診断装置!$K$30:$K$74)*((超音波画像診断装置!$H$3-超音波画像診断装置!$I$3)/超音波画像診断装置!$H$3),0)</f>
        <v>0</v>
      </c>
      <c r="U56" s="306">
        <f t="shared" si="13"/>
        <v>0</v>
      </c>
      <c r="V56" s="305">
        <f>IFERROR(SUMIF(血液浄化装置!$C$30:$C$74,B56,血液浄化装置!$K$30:$K$74)*((血液浄化装置!$H$3-血液浄化装置!$I$3)/血液浄化装置!$H$3),0)</f>
        <v>0</v>
      </c>
      <c r="W56" s="306">
        <f t="shared" si="14"/>
        <v>0</v>
      </c>
      <c r="X56" s="305">
        <f>IFERROR(SUMIF(気管支鏡!$C$30:$C$74,B56,気管支鏡!$K$30:$K$74)*((気管支鏡!$H$3-気管支鏡!$I$3)/気管支鏡!$H$3),0)</f>
        <v>0</v>
      </c>
      <c r="Y56" s="306">
        <f t="shared" si="0"/>
        <v>0</v>
      </c>
      <c r="Z56" s="305">
        <f>IFERROR(SUMIF(CT撮影装置!$C$30:$C$74,B56,CT撮影装置!$K$30:$K$74)*((CT撮影装置!$H$3-CT撮影装置!$I$3)/CT撮影装置!$H$3),0)</f>
        <v>0</v>
      </c>
      <c r="AA56" s="306">
        <f t="shared" si="15"/>
        <v>0</v>
      </c>
      <c r="AB56" s="305">
        <f>IFERROR(SUMIF(生体情報モニタ!$C$30:$C$74,B56,生体情報モニタ!$K$30:$K$74)*((生体情報モニタ!$H$3-生体情報モニタ!$I$3)/生体情報モニタ!$H$3),0)</f>
        <v>0</v>
      </c>
      <c r="AC56" s="306">
        <f t="shared" si="1"/>
        <v>0</v>
      </c>
      <c r="AD56" s="305">
        <f>IFERROR(SUMIF(分娩監視装置!$C$30:$C$74,B56,分娩監視装置!$K$30:$K$74)*((分娩監視装置!$H$3-分娩監視装置!$I$3)/分娩監視装置!$H$3),0)</f>
        <v>0</v>
      </c>
      <c r="AE56" s="306">
        <f t="shared" si="16"/>
        <v>0</v>
      </c>
      <c r="AF56" s="305">
        <f>IFERROR(SUMIF(新生児モニタ!$C$30:$C$74,B56,新生児モニタ!$K$30:$K$74)*((新生児モニタ!$H$3-新生児モニタ!$I$3)/新生児モニタ!$H$3),0)</f>
        <v>0</v>
      </c>
      <c r="AG56" s="306">
        <f t="shared" si="17"/>
        <v>0</v>
      </c>
    </row>
    <row r="57" spans="2:33">
      <c r="B57" s="283" t="s">
        <v>870</v>
      </c>
      <c r="C57" s="305">
        <f>IFERROR(SUMIF(初度設備!$C$30:$C$74,B57,初度設備!$K$30:$K$74)*((初度設備!$H$3-初度設備!$I$3)/初度設備!$H$3),0)</f>
        <v>0</v>
      </c>
      <c r="D57" s="306">
        <f t="shared" si="2"/>
        <v>0</v>
      </c>
      <c r="E57" s="305">
        <f>IFERROR(SUMIF(人工呼吸器!$C$30:$C$74,B57,人工呼吸器!$K$30:$K$74)*((人工呼吸器!$H$3-人工呼吸器!$I$3)/人工呼吸器!$H$3),0)</f>
        <v>0</v>
      </c>
      <c r="F57" s="306">
        <f t="shared" si="3"/>
        <v>0</v>
      </c>
      <c r="G57" s="306">
        <f t="shared" si="4"/>
        <v>0</v>
      </c>
      <c r="H57" s="306">
        <f t="shared" si="5"/>
        <v>0</v>
      </c>
      <c r="I57" s="305">
        <f>IFERROR(SUMIF(簡易陰圧装置!$C$30:$C$74,B57,簡易陰圧装置!$K$30:$K$74)*((簡易陰圧装置!$H$3-簡易陰圧装置!$I$3)/簡易陰圧装置!$H$3),0)</f>
        <v>0</v>
      </c>
      <c r="J57" s="306">
        <f t="shared" si="6"/>
        <v>0</v>
      </c>
      <c r="K57" s="305">
        <f>IFERROR(SUMIF(簡易ベッド!$C$30:$C$74,B57,簡易ベッド!$K$30:$K$74)*((簡易ベッド!$H$3-簡易ベッド!$I$3)/簡易ベッド!$H$3),0)</f>
        <v>0</v>
      </c>
      <c r="L57" s="306">
        <f t="shared" si="7"/>
        <v>0</v>
      </c>
      <c r="M57" s="305">
        <f>IFERROR(SUMIF(体外式膜型人工肺!$C$30:$C$74,B57,体外式膜型人工肺!$K$30:$K$74)*((体外式膜型人工肺!$H$3-体外式膜型人工肺!$I$3)/体外式膜型人工肺!$H$3),0)</f>
        <v>0</v>
      </c>
      <c r="N57" s="306">
        <f t="shared" si="8"/>
        <v>0</v>
      </c>
      <c r="O57" s="306">
        <f t="shared" si="9"/>
        <v>0</v>
      </c>
      <c r="P57" s="306">
        <f t="shared" si="10"/>
        <v>0</v>
      </c>
      <c r="Q57" s="305">
        <f>IFERROR(SUMIF(紫外線照射装置!$C$30:$C$74,B57,紫外線照射装置!$K$30:$K$74)*((紫外線照射装置!$H$3-紫外線照射装置!$I$3)/紫外線照射装置!$H$3),0)</f>
        <v>0</v>
      </c>
      <c r="R57" s="306">
        <f t="shared" si="11"/>
        <v>0</v>
      </c>
      <c r="S57" s="419">
        <f t="shared" si="12"/>
        <v>0</v>
      </c>
      <c r="T57" s="305">
        <f>IFERROR(SUMIF(超音波画像診断装置!$C$30:$C$74,B57,超音波画像診断装置!$K$30:$K$74)*((超音波画像診断装置!$H$3-超音波画像診断装置!$I$3)/超音波画像診断装置!$H$3),0)</f>
        <v>0</v>
      </c>
      <c r="U57" s="306">
        <f t="shared" si="13"/>
        <v>0</v>
      </c>
      <c r="V57" s="305">
        <f>IFERROR(SUMIF(血液浄化装置!$C$30:$C$74,B57,血液浄化装置!$K$30:$K$74)*((血液浄化装置!$H$3-血液浄化装置!$I$3)/血液浄化装置!$H$3),0)</f>
        <v>0</v>
      </c>
      <c r="W57" s="306">
        <f t="shared" si="14"/>
        <v>0</v>
      </c>
      <c r="X57" s="305">
        <f>IFERROR(SUMIF(気管支鏡!$C$30:$C$74,B57,気管支鏡!$K$30:$K$74)*((気管支鏡!$H$3-気管支鏡!$I$3)/気管支鏡!$H$3),0)</f>
        <v>0</v>
      </c>
      <c r="Y57" s="306">
        <f t="shared" si="0"/>
        <v>0</v>
      </c>
      <c r="Z57" s="305">
        <f>IFERROR(SUMIF(CT撮影装置!$C$30:$C$74,B57,CT撮影装置!$K$30:$K$74)*((CT撮影装置!$H$3-CT撮影装置!$I$3)/CT撮影装置!$H$3),0)</f>
        <v>0</v>
      </c>
      <c r="AA57" s="306">
        <f t="shared" si="15"/>
        <v>0</v>
      </c>
      <c r="AB57" s="305">
        <f>IFERROR(SUMIF(生体情報モニタ!$C$30:$C$74,B57,生体情報モニタ!$K$30:$K$74)*((生体情報モニタ!$H$3-生体情報モニタ!$I$3)/生体情報モニタ!$H$3),0)</f>
        <v>0</v>
      </c>
      <c r="AC57" s="306">
        <f t="shared" si="1"/>
        <v>0</v>
      </c>
      <c r="AD57" s="305">
        <f>IFERROR(SUMIF(分娩監視装置!$C$30:$C$74,B57,分娩監視装置!$K$30:$K$74)*((分娩監視装置!$H$3-分娩監視装置!$I$3)/分娩監視装置!$H$3),0)</f>
        <v>0</v>
      </c>
      <c r="AE57" s="306">
        <f t="shared" si="16"/>
        <v>0</v>
      </c>
      <c r="AF57" s="305">
        <f>IFERROR(SUMIF(新生児モニタ!$C$30:$C$74,B57,新生児モニタ!$K$30:$K$74)*((新生児モニタ!$H$3-新生児モニタ!$I$3)/新生児モニタ!$H$3),0)</f>
        <v>0</v>
      </c>
      <c r="AG57" s="306">
        <f t="shared" si="17"/>
        <v>0</v>
      </c>
    </row>
    <row r="58" spans="2:33">
      <c r="B58" s="283" t="s">
        <v>871</v>
      </c>
      <c r="C58" s="305">
        <f>IFERROR(SUMIF(初度設備!$C$30:$C$74,B58,初度設備!$K$30:$K$74)*((初度設備!$H$3-初度設備!$I$3)/初度設備!$H$3),0)</f>
        <v>0</v>
      </c>
      <c r="D58" s="306">
        <f t="shared" si="2"/>
        <v>0</v>
      </c>
      <c r="E58" s="305">
        <f>IFERROR(SUMIF(人工呼吸器!$C$30:$C$74,B58,人工呼吸器!$K$30:$K$74)*((人工呼吸器!$H$3-人工呼吸器!$I$3)/人工呼吸器!$H$3),0)</f>
        <v>0</v>
      </c>
      <c r="F58" s="306">
        <f t="shared" si="3"/>
        <v>0</v>
      </c>
      <c r="G58" s="306">
        <f t="shared" si="4"/>
        <v>0</v>
      </c>
      <c r="H58" s="306">
        <f t="shared" si="5"/>
        <v>0</v>
      </c>
      <c r="I58" s="305">
        <f>IFERROR(SUMIF(簡易陰圧装置!$C$30:$C$74,B58,簡易陰圧装置!$K$30:$K$74)*((簡易陰圧装置!$H$3-簡易陰圧装置!$I$3)/簡易陰圧装置!$H$3),0)</f>
        <v>0</v>
      </c>
      <c r="J58" s="306">
        <f t="shared" si="6"/>
        <v>0</v>
      </c>
      <c r="K58" s="305">
        <f>IFERROR(SUMIF(簡易ベッド!$C$30:$C$74,B58,簡易ベッド!$K$30:$K$74)*((簡易ベッド!$H$3-簡易ベッド!$I$3)/簡易ベッド!$H$3),0)</f>
        <v>0</v>
      </c>
      <c r="L58" s="306">
        <f t="shared" si="7"/>
        <v>0</v>
      </c>
      <c r="M58" s="305">
        <f>IFERROR(SUMIF(体外式膜型人工肺!$C$30:$C$74,B58,体外式膜型人工肺!$K$30:$K$74)*((体外式膜型人工肺!$H$3-体外式膜型人工肺!$I$3)/体外式膜型人工肺!$H$3),0)</f>
        <v>0</v>
      </c>
      <c r="N58" s="306">
        <f t="shared" si="8"/>
        <v>0</v>
      </c>
      <c r="O58" s="306">
        <f t="shared" si="9"/>
        <v>0</v>
      </c>
      <c r="P58" s="306">
        <f t="shared" si="10"/>
        <v>0</v>
      </c>
      <c r="Q58" s="305">
        <f>IFERROR(SUMIF(紫外線照射装置!$C$30:$C$74,B58,紫外線照射装置!$K$30:$K$74)*((紫外線照射装置!$H$3-紫外線照射装置!$I$3)/紫外線照射装置!$H$3),0)</f>
        <v>0</v>
      </c>
      <c r="R58" s="306">
        <f t="shared" si="11"/>
        <v>0</v>
      </c>
      <c r="S58" s="419">
        <f t="shared" si="12"/>
        <v>0</v>
      </c>
      <c r="T58" s="305">
        <f>IFERROR(SUMIF(超音波画像診断装置!$C$30:$C$74,B58,超音波画像診断装置!$K$30:$K$74)*((超音波画像診断装置!$H$3-超音波画像診断装置!$I$3)/超音波画像診断装置!$H$3),0)</f>
        <v>0</v>
      </c>
      <c r="U58" s="306">
        <f t="shared" si="13"/>
        <v>0</v>
      </c>
      <c r="V58" s="305">
        <f>IFERROR(SUMIF(血液浄化装置!$C$30:$C$74,B58,血液浄化装置!$K$30:$K$74)*((血液浄化装置!$H$3-血液浄化装置!$I$3)/血液浄化装置!$H$3),0)</f>
        <v>0</v>
      </c>
      <c r="W58" s="306">
        <f t="shared" si="14"/>
        <v>0</v>
      </c>
      <c r="X58" s="305">
        <f>IFERROR(SUMIF(気管支鏡!$C$30:$C$74,B58,気管支鏡!$K$30:$K$74)*((気管支鏡!$H$3-気管支鏡!$I$3)/気管支鏡!$H$3),0)</f>
        <v>0</v>
      </c>
      <c r="Y58" s="306">
        <f t="shared" si="0"/>
        <v>0</v>
      </c>
      <c r="Z58" s="305">
        <f>IFERROR(SUMIF(CT撮影装置!$C$30:$C$74,B58,CT撮影装置!$K$30:$K$74)*((CT撮影装置!$H$3-CT撮影装置!$I$3)/CT撮影装置!$H$3),0)</f>
        <v>0</v>
      </c>
      <c r="AA58" s="306">
        <f t="shared" si="15"/>
        <v>0</v>
      </c>
      <c r="AB58" s="305">
        <f>IFERROR(SUMIF(生体情報モニタ!$C$30:$C$74,B58,生体情報モニタ!$K$30:$K$74)*((生体情報モニタ!$H$3-生体情報モニタ!$I$3)/生体情報モニタ!$H$3),0)</f>
        <v>0</v>
      </c>
      <c r="AC58" s="306">
        <f t="shared" si="1"/>
        <v>0</v>
      </c>
      <c r="AD58" s="305">
        <f>IFERROR(SUMIF(分娩監視装置!$C$30:$C$74,B58,分娩監視装置!$K$30:$K$74)*((分娩監視装置!$H$3-分娩監視装置!$I$3)/分娩監視装置!$H$3),0)</f>
        <v>0</v>
      </c>
      <c r="AE58" s="306">
        <f t="shared" si="16"/>
        <v>0</v>
      </c>
      <c r="AF58" s="305">
        <f>IFERROR(SUMIF(新生児モニタ!$C$30:$C$74,B58,新生児モニタ!$K$30:$K$74)*((新生児モニタ!$H$3-新生児モニタ!$I$3)/新生児モニタ!$H$3),0)</f>
        <v>0</v>
      </c>
      <c r="AG58" s="306">
        <f t="shared" si="17"/>
        <v>0</v>
      </c>
    </row>
    <row r="59" spans="2:33">
      <c r="B59" s="283" t="s">
        <v>872</v>
      </c>
      <c r="C59" s="305">
        <f>IFERROR(SUMIF(初度設備!$C$30:$C$74,B59,初度設備!$K$30:$K$74)*((初度設備!$H$3-初度設備!$I$3)/初度設備!$H$3),0)</f>
        <v>0</v>
      </c>
      <c r="D59" s="306">
        <f t="shared" si="2"/>
        <v>0</v>
      </c>
      <c r="E59" s="305">
        <f>IFERROR(SUMIF(人工呼吸器!$C$30:$C$74,B59,人工呼吸器!$K$30:$K$74)*((人工呼吸器!$H$3-人工呼吸器!$I$3)/人工呼吸器!$H$3),0)</f>
        <v>0</v>
      </c>
      <c r="F59" s="306">
        <f t="shared" si="3"/>
        <v>0</v>
      </c>
      <c r="G59" s="306">
        <f t="shared" si="4"/>
        <v>0</v>
      </c>
      <c r="H59" s="306">
        <f t="shared" si="5"/>
        <v>0</v>
      </c>
      <c r="I59" s="305">
        <f>IFERROR(SUMIF(簡易陰圧装置!$C$30:$C$74,B59,簡易陰圧装置!$K$30:$K$74)*((簡易陰圧装置!$H$3-簡易陰圧装置!$I$3)/簡易陰圧装置!$H$3),0)</f>
        <v>0</v>
      </c>
      <c r="J59" s="306">
        <f t="shared" si="6"/>
        <v>0</v>
      </c>
      <c r="K59" s="305">
        <f>IFERROR(SUMIF(簡易ベッド!$C$30:$C$74,B59,簡易ベッド!$K$30:$K$74)*((簡易ベッド!$H$3-簡易ベッド!$I$3)/簡易ベッド!$H$3),0)</f>
        <v>0</v>
      </c>
      <c r="L59" s="306">
        <f t="shared" si="7"/>
        <v>0</v>
      </c>
      <c r="M59" s="305">
        <f>IFERROR(SUMIF(体外式膜型人工肺!$C$30:$C$74,B59,体外式膜型人工肺!$K$30:$K$74)*((体外式膜型人工肺!$H$3-体外式膜型人工肺!$I$3)/体外式膜型人工肺!$H$3),0)</f>
        <v>0</v>
      </c>
      <c r="N59" s="306">
        <f t="shared" si="8"/>
        <v>0</v>
      </c>
      <c r="O59" s="306">
        <f t="shared" si="9"/>
        <v>0</v>
      </c>
      <c r="P59" s="306">
        <f t="shared" si="10"/>
        <v>0</v>
      </c>
      <c r="Q59" s="305">
        <f>IFERROR(SUMIF(紫外線照射装置!$C$30:$C$74,B59,紫外線照射装置!$K$30:$K$74)*((紫外線照射装置!$H$3-紫外線照射装置!$I$3)/紫外線照射装置!$H$3),0)</f>
        <v>0</v>
      </c>
      <c r="R59" s="306">
        <f t="shared" si="11"/>
        <v>0</v>
      </c>
      <c r="S59" s="419">
        <f t="shared" si="12"/>
        <v>0</v>
      </c>
      <c r="T59" s="305">
        <f>IFERROR(SUMIF(超音波画像診断装置!$C$30:$C$74,B59,超音波画像診断装置!$K$30:$K$74)*((超音波画像診断装置!$H$3-超音波画像診断装置!$I$3)/超音波画像診断装置!$H$3),0)</f>
        <v>0</v>
      </c>
      <c r="U59" s="306">
        <f t="shared" si="13"/>
        <v>0</v>
      </c>
      <c r="V59" s="305">
        <f>IFERROR(SUMIF(血液浄化装置!$C$30:$C$74,B59,血液浄化装置!$K$30:$K$74)*((血液浄化装置!$H$3-血液浄化装置!$I$3)/血液浄化装置!$H$3),0)</f>
        <v>0</v>
      </c>
      <c r="W59" s="306">
        <f t="shared" si="14"/>
        <v>0</v>
      </c>
      <c r="X59" s="305">
        <f>IFERROR(SUMIF(気管支鏡!$C$30:$C$74,B59,気管支鏡!$K$30:$K$74)*((気管支鏡!$H$3-気管支鏡!$I$3)/気管支鏡!$H$3),0)</f>
        <v>0</v>
      </c>
      <c r="Y59" s="306">
        <f t="shared" si="0"/>
        <v>0</v>
      </c>
      <c r="Z59" s="305">
        <f>IFERROR(SUMIF(CT撮影装置!$C$30:$C$74,B59,CT撮影装置!$K$30:$K$74)*((CT撮影装置!$H$3-CT撮影装置!$I$3)/CT撮影装置!$H$3),0)</f>
        <v>0</v>
      </c>
      <c r="AA59" s="306">
        <f t="shared" si="15"/>
        <v>0</v>
      </c>
      <c r="AB59" s="305">
        <f>IFERROR(SUMIF(生体情報モニタ!$C$30:$C$74,B59,生体情報モニタ!$K$30:$K$74)*((生体情報モニタ!$H$3-生体情報モニタ!$I$3)/生体情報モニタ!$H$3),0)</f>
        <v>0</v>
      </c>
      <c r="AC59" s="306">
        <f t="shared" si="1"/>
        <v>0</v>
      </c>
      <c r="AD59" s="305">
        <f>IFERROR(SUMIF(分娩監視装置!$C$30:$C$74,B59,分娩監視装置!$K$30:$K$74)*((分娩監視装置!$H$3-分娩監視装置!$I$3)/分娩監視装置!$H$3),0)</f>
        <v>0</v>
      </c>
      <c r="AE59" s="306">
        <f t="shared" si="16"/>
        <v>0</v>
      </c>
      <c r="AF59" s="305">
        <f>IFERROR(SUMIF(新生児モニタ!$C$30:$C$74,B59,新生児モニタ!$K$30:$K$74)*((新生児モニタ!$H$3-新生児モニタ!$I$3)/新生児モニタ!$H$3),0)</f>
        <v>0</v>
      </c>
      <c r="AG59" s="306">
        <f t="shared" si="17"/>
        <v>0</v>
      </c>
    </row>
    <row r="60" spans="2:33">
      <c r="B60" s="283" t="s">
        <v>873</v>
      </c>
      <c r="C60" s="305">
        <f>IFERROR(SUMIF(初度設備!$C$30:$C$74,B60,初度設備!$K$30:$K$74)*((初度設備!$H$3-初度設備!$I$3)/初度設備!$H$3),0)</f>
        <v>0</v>
      </c>
      <c r="D60" s="306">
        <f t="shared" si="2"/>
        <v>0</v>
      </c>
      <c r="E60" s="305">
        <f>IFERROR(SUMIF(人工呼吸器!$C$30:$C$74,B60,人工呼吸器!$K$30:$K$74)*((人工呼吸器!$H$3-人工呼吸器!$I$3)/人工呼吸器!$H$3),0)</f>
        <v>0</v>
      </c>
      <c r="F60" s="306">
        <f t="shared" si="3"/>
        <v>0</v>
      </c>
      <c r="G60" s="306">
        <f t="shared" si="4"/>
        <v>0</v>
      </c>
      <c r="H60" s="306">
        <f t="shared" si="5"/>
        <v>0</v>
      </c>
      <c r="I60" s="305">
        <f>IFERROR(SUMIF(簡易陰圧装置!$C$30:$C$74,B60,簡易陰圧装置!$K$30:$K$74)*((簡易陰圧装置!$H$3-簡易陰圧装置!$I$3)/簡易陰圧装置!$H$3),0)</f>
        <v>0</v>
      </c>
      <c r="J60" s="306">
        <f t="shared" si="6"/>
        <v>0</v>
      </c>
      <c r="K60" s="305">
        <f>IFERROR(SUMIF(簡易ベッド!$C$30:$C$74,B60,簡易ベッド!$K$30:$K$74)*((簡易ベッド!$H$3-簡易ベッド!$I$3)/簡易ベッド!$H$3),0)</f>
        <v>0</v>
      </c>
      <c r="L60" s="306">
        <f t="shared" si="7"/>
        <v>0</v>
      </c>
      <c r="M60" s="305">
        <f>IFERROR(SUMIF(体外式膜型人工肺!$C$30:$C$74,B60,体外式膜型人工肺!$K$30:$K$74)*((体外式膜型人工肺!$H$3-体外式膜型人工肺!$I$3)/体外式膜型人工肺!$H$3),0)</f>
        <v>0</v>
      </c>
      <c r="N60" s="306">
        <f t="shared" si="8"/>
        <v>0</v>
      </c>
      <c r="O60" s="306">
        <f t="shared" si="9"/>
        <v>0</v>
      </c>
      <c r="P60" s="306">
        <f t="shared" si="10"/>
        <v>0</v>
      </c>
      <c r="Q60" s="305">
        <f>IFERROR(SUMIF(紫外線照射装置!$C$30:$C$74,B60,紫外線照射装置!$K$30:$K$74)*((紫外線照射装置!$H$3-紫外線照射装置!$I$3)/紫外線照射装置!$H$3),0)</f>
        <v>0</v>
      </c>
      <c r="R60" s="306">
        <f t="shared" si="11"/>
        <v>0</v>
      </c>
      <c r="S60" s="419">
        <f t="shared" si="12"/>
        <v>0</v>
      </c>
      <c r="T60" s="305">
        <f>IFERROR(SUMIF(超音波画像診断装置!$C$30:$C$74,B60,超音波画像診断装置!$K$30:$K$74)*((超音波画像診断装置!$H$3-超音波画像診断装置!$I$3)/超音波画像診断装置!$H$3),0)</f>
        <v>0</v>
      </c>
      <c r="U60" s="306">
        <f t="shared" si="13"/>
        <v>0</v>
      </c>
      <c r="V60" s="305">
        <f>IFERROR(SUMIF(血液浄化装置!$C$30:$C$74,B60,血液浄化装置!$K$30:$K$74)*((血液浄化装置!$H$3-血液浄化装置!$I$3)/血液浄化装置!$H$3),0)</f>
        <v>0</v>
      </c>
      <c r="W60" s="306">
        <f t="shared" si="14"/>
        <v>0</v>
      </c>
      <c r="X60" s="305">
        <f>IFERROR(SUMIF(気管支鏡!$C$30:$C$74,B60,気管支鏡!$K$30:$K$74)*((気管支鏡!$H$3-気管支鏡!$I$3)/気管支鏡!$H$3),0)</f>
        <v>0</v>
      </c>
      <c r="Y60" s="306">
        <f t="shared" si="0"/>
        <v>0</v>
      </c>
      <c r="Z60" s="305">
        <f>IFERROR(SUMIF(CT撮影装置!$C$30:$C$74,B60,CT撮影装置!$K$30:$K$74)*((CT撮影装置!$H$3-CT撮影装置!$I$3)/CT撮影装置!$H$3),0)</f>
        <v>0</v>
      </c>
      <c r="AA60" s="306">
        <f t="shared" si="15"/>
        <v>0</v>
      </c>
      <c r="AB60" s="305">
        <f>IFERROR(SUMIF(生体情報モニタ!$C$30:$C$74,B60,生体情報モニタ!$K$30:$K$74)*((生体情報モニタ!$H$3-生体情報モニタ!$I$3)/生体情報モニタ!$H$3),0)</f>
        <v>0</v>
      </c>
      <c r="AC60" s="306">
        <f t="shared" si="1"/>
        <v>0</v>
      </c>
      <c r="AD60" s="305">
        <f>IFERROR(SUMIF(分娩監視装置!$C$30:$C$74,B60,分娩監視装置!$K$30:$K$74)*((分娩監視装置!$H$3-分娩監視装置!$I$3)/分娩監視装置!$H$3),0)</f>
        <v>0</v>
      </c>
      <c r="AE60" s="306">
        <f t="shared" si="16"/>
        <v>0</v>
      </c>
      <c r="AF60" s="305">
        <f>IFERROR(SUMIF(新生児モニタ!$C$30:$C$74,B60,新生児モニタ!$K$30:$K$74)*((新生児モニタ!$H$3-新生児モニタ!$I$3)/新生児モニタ!$H$3),0)</f>
        <v>0</v>
      </c>
      <c r="AG60" s="306">
        <f t="shared" si="17"/>
        <v>0</v>
      </c>
    </row>
    <row r="61" spans="2:33">
      <c r="B61" s="283" t="s">
        <v>874</v>
      </c>
      <c r="C61" s="305">
        <f>IFERROR(SUMIF(初度設備!$C$30:$C$74,B61,初度設備!$K$30:$K$74)*((初度設備!$H$3-初度設備!$I$3)/初度設備!$H$3),0)</f>
        <v>0</v>
      </c>
      <c r="D61" s="306">
        <f t="shared" si="2"/>
        <v>0</v>
      </c>
      <c r="E61" s="305">
        <f>IFERROR(SUMIF(人工呼吸器!$C$30:$C$74,B61,人工呼吸器!$K$30:$K$74)*((人工呼吸器!$H$3-人工呼吸器!$I$3)/人工呼吸器!$H$3),0)</f>
        <v>0</v>
      </c>
      <c r="F61" s="306">
        <f t="shared" si="3"/>
        <v>0</v>
      </c>
      <c r="G61" s="306">
        <f t="shared" si="4"/>
        <v>0</v>
      </c>
      <c r="H61" s="306">
        <f t="shared" si="5"/>
        <v>0</v>
      </c>
      <c r="I61" s="305">
        <f>IFERROR(SUMIF(簡易陰圧装置!$C$30:$C$74,B61,簡易陰圧装置!$K$30:$K$74)*((簡易陰圧装置!$H$3-簡易陰圧装置!$I$3)/簡易陰圧装置!$H$3),0)</f>
        <v>0</v>
      </c>
      <c r="J61" s="306">
        <f t="shared" si="6"/>
        <v>0</v>
      </c>
      <c r="K61" s="305">
        <f>IFERROR(SUMIF(簡易ベッド!$C$30:$C$74,B61,簡易ベッド!$K$30:$K$74)*((簡易ベッド!$H$3-簡易ベッド!$I$3)/簡易ベッド!$H$3),0)</f>
        <v>0</v>
      </c>
      <c r="L61" s="306">
        <f t="shared" si="7"/>
        <v>0</v>
      </c>
      <c r="M61" s="305">
        <f>IFERROR(SUMIF(体外式膜型人工肺!$C$30:$C$74,B61,体外式膜型人工肺!$K$30:$K$74)*((体外式膜型人工肺!$H$3-体外式膜型人工肺!$I$3)/体外式膜型人工肺!$H$3),0)</f>
        <v>0</v>
      </c>
      <c r="N61" s="306">
        <f t="shared" si="8"/>
        <v>0</v>
      </c>
      <c r="O61" s="306">
        <f t="shared" si="9"/>
        <v>0</v>
      </c>
      <c r="P61" s="306">
        <f t="shared" si="10"/>
        <v>0</v>
      </c>
      <c r="Q61" s="305">
        <f>IFERROR(SUMIF(紫外線照射装置!$C$30:$C$74,B61,紫外線照射装置!$K$30:$K$74)*((紫外線照射装置!$H$3-紫外線照射装置!$I$3)/紫外線照射装置!$H$3),0)</f>
        <v>0</v>
      </c>
      <c r="R61" s="306">
        <f t="shared" si="11"/>
        <v>0</v>
      </c>
      <c r="S61" s="419">
        <f t="shared" si="12"/>
        <v>0</v>
      </c>
      <c r="T61" s="305">
        <f>IFERROR(SUMIF(超音波画像診断装置!$C$30:$C$74,B61,超音波画像診断装置!$K$30:$K$74)*((超音波画像診断装置!$H$3-超音波画像診断装置!$I$3)/超音波画像診断装置!$H$3),0)</f>
        <v>0</v>
      </c>
      <c r="U61" s="306">
        <f t="shared" si="13"/>
        <v>0</v>
      </c>
      <c r="V61" s="305">
        <f>IFERROR(SUMIF(血液浄化装置!$C$30:$C$74,B61,血液浄化装置!$K$30:$K$74)*((血液浄化装置!$H$3-血液浄化装置!$I$3)/血液浄化装置!$H$3),0)</f>
        <v>0</v>
      </c>
      <c r="W61" s="306">
        <f t="shared" si="14"/>
        <v>0</v>
      </c>
      <c r="X61" s="305">
        <f>IFERROR(SUMIF(気管支鏡!$C$30:$C$74,B61,気管支鏡!$K$30:$K$74)*((気管支鏡!$H$3-気管支鏡!$I$3)/気管支鏡!$H$3),0)</f>
        <v>0</v>
      </c>
      <c r="Y61" s="306">
        <f t="shared" si="0"/>
        <v>0</v>
      </c>
      <c r="Z61" s="305">
        <f>IFERROR(SUMIF(CT撮影装置!$C$30:$C$74,B61,CT撮影装置!$K$30:$K$74)*((CT撮影装置!$H$3-CT撮影装置!$I$3)/CT撮影装置!$H$3),0)</f>
        <v>0</v>
      </c>
      <c r="AA61" s="306">
        <f t="shared" si="15"/>
        <v>0</v>
      </c>
      <c r="AB61" s="305">
        <f>IFERROR(SUMIF(生体情報モニタ!$C$30:$C$74,B61,生体情報モニタ!$K$30:$K$74)*((生体情報モニタ!$H$3-生体情報モニタ!$I$3)/生体情報モニタ!$H$3),0)</f>
        <v>0</v>
      </c>
      <c r="AC61" s="306">
        <f t="shared" si="1"/>
        <v>0</v>
      </c>
      <c r="AD61" s="305">
        <f>IFERROR(SUMIF(分娩監視装置!$C$30:$C$74,B61,分娩監視装置!$K$30:$K$74)*((分娩監視装置!$H$3-分娩監視装置!$I$3)/分娩監視装置!$H$3),0)</f>
        <v>0</v>
      </c>
      <c r="AE61" s="306">
        <f t="shared" si="16"/>
        <v>0</v>
      </c>
      <c r="AF61" s="305">
        <f>IFERROR(SUMIF(新生児モニタ!$C$30:$C$74,B61,新生児モニタ!$K$30:$K$74)*((新生児モニタ!$H$3-新生児モニタ!$I$3)/新生児モニタ!$H$3),0)</f>
        <v>0</v>
      </c>
      <c r="AG61" s="306">
        <f t="shared" si="17"/>
        <v>0</v>
      </c>
    </row>
    <row r="62" spans="2:33">
      <c r="B62" s="283" t="s">
        <v>875</v>
      </c>
      <c r="C62" s="305">
        <f>IFERROR(SUMIF(初度設備!$C$30:$C$74,B62,初度設備!$K$30:$K$74)*((初度設備!$H$3-初度設備!$I$3)/初度設備!$H$3),0)</f>
        <v>0</v>
      </c>
      <c r="D62" s="306">
        <f t="shared" si="2"/>
        <v>0</v>
      </c>
      <c r="E62" s="305">
        <f>IFERROR(SUMIF(人工呼吸器!$C$30:$C$74,B62,人工呼吸器!$K$30:$K$74)*((人工呼吸器!$H$3-人工呼吸器!$I$3)/人工呼吸器!$H$3),0)</f>
        <v>0</v>
      </c>
      <c r="F62" s="306">
        <f t="shared" si="3"/>
        <v>0</v>
      </c>
      <c r="G62" s="306">
        <f t="shared" si="4"/>
        <v>0</v>
      </c>
      <c r="H62" s="306">
        <f t="shared" si="5"/>
        <v>0</v>
      </c>
      <c r="I62" s="305">
        <f>IFERROR(SUMIF(簡易陰圧装置!$C$30:$C$74,B62,簡易陰圧装置!$K$30:$K$74)*((簡易陰圧装置!$H$3-簡易陰圧装置!$I$3)/簡易陰圧装置!$H$3),0)</f>
        <v>0</v>
      </c>
      <c r="J62" s="306">
        <f t="shared" si="6"/>
        <v>0</v>
      </c>
      <c r="K62" s="305">
        <f>IFERROR(SUMIF(簡易ベッド!$C$30:$C$74,B62,簡易ベッド!$K$30:$K$74)*((簡易ベッド!$H$3-簡易ベッド!$I$3)/簡易ベッド!$H$3),0)</f>
        <v>0</v>
      </c>
      <c r="L62" s="306">
        <f t="shared" si="7"/>
        <v>0</v>
      </c>
      <c r="M62" s="305">
        <f>IFERROR(SUMIF(体外式膜型人工肺!$C$30:$C$74,B62,体外式膜型人工肺!$K$30:$K$74)*((体外式膜型人工肺!$H$3-体外式膜型人工肺!$I$3)/体外式膜型人工肺!$H$3),0)</f>
        <v>0</v>
      </c>
      <c r="N62" s="306">
        <f t="shared" si="8"/>
        <v>0</v>
      </c>
      <c r="O62" s="306">
        <f t="shared" si="9"/>
        <v>0</v>
      </c>
      <c r="P62" s="306">
        <f t="shared" si="10"/>
        <v>0</v>
      </c>
      <c r="Q62" s="305">
        <f>IFERROR(SUMIF(紫外線照射装置!$C$30:$C$74,B62,紫外線照射装置!$K$30:$K$74)*((紫外線照射装置!$H$3-紫外線照射装置!$I$3)/紫外線照射装置!$H$3),0)</f>
        <v>0</v>
      </c>
      <c r="R62" s="306">
        <f t="shared" si="11"/>
        <v>0</v>
      </c>
      <c r="S62" s="419">
        <f t="shared" si="12"/>
        <v>0</v>
      </c>
      <c r="T62" s="305">
        <f>IFERROR(SUMIF(超音波画像診断装置!$C$30:$C$74,B62,超音波画像診断装置!$K$30:$K$74)*((超音波画像診断装置!$H$3-超音波画像診断装置!$I$3)/超音波画像診断装置!$H$3),0)</f>
        <v>0</v>
      </c>
      <c r="U62" s="306">
        <f t="shared" si="13"/>
        <v>0</v>
      </c>
      <c r="V62" s="305">
        <f>IFERROR(SUMIF(血液浄化装置!$C$30:$C$74,B62,血液浄化装置!$K$30:$K$74)*((血液浄化装置!$H$3-血液浄化装置!$I$3)/血液浄化装置!$H$3),0)</f>
        <v>0</v>
      </c>
      <c r="W62" s="306">
        <f t="shared" si="14"/>
        <v>0</v>
      </c>
      <c r="X62" s="305">
        <f>IFERROR(SUMIF(気管支鏡!$C$30:$C$74,B62,気管支鏡!$K$30:$K$74)*((気管支鏡!$H$3-気管支鏡!$I$3)/気管支鏡!$H$3),0)</f>
        <v>0</v>
      </c>
      <c r="Y62" s="306">
        <f t="shared" si="0"/>
        <v>0</v>
      </c>
      <c r="Z62" s="305">
        <f>IFERROR(SUMIF(CT撮影装置!$C$30:$C$74,B62,CT撮影装置!$K$30:$K$74)*((CT撮影装置!$H$3-CT撮影装置!$I$3)/CT撮影装置!$H$3),0)</f>
        <v>0</v>
      </c>
      <c r="AA62" s="306">
        <f t="shared" si="15"/>
        <v>0</v>
      </c>
      <c r="AB62" s="305">
        <f>IFERROR(SUMIF(生体情報モニタ!$C$30:$C$74,B62,生体情報モニタ!$K$30:$K$74)*((生体情報モニタ!$H$3-生体情報モニタ!$I$3)/生体情報モニタ!$H$3),0)</f>
        <v>0</v>
      </c>
      <c r="AC62" s="306">
        <f t="shared" si="1"/>
        <v>0</v>
      </c>
      <c r="AD62" s="305">
        <f>IFERROR(SUMIF(分娩監視装置!$C$30:$C$74,B62,分娩監視装置!$K$30:$K$74)*((分娩監視装置!$H$3-分娩監視装置!$I$3)/分娩監視装置!$H$3),0)</f>
        <v>0</v>
      </c>
      <c r="AE62" s="306">
        <f t="shared" si="16"/>
        <v>0</v>
      </c>
      <c r="AF62" s="305">
        <f>IFERROR(SUMIF(新生児モニタ!$C$30:$C$74,B62,新生児モニタ!$K$30:$K$74)*((新生児モニタ!$H$3-新生児モニタ!$I$3)/新生児モニタ!$H$3),0)</f>
        <v>0</v>
      </c>
      <c r="AG62" s="306">
        <f t="shared" si="17"/>
        <v>0</v>
      </c>
    </row>
    <row r="63" spans="2:33">
      <c r="B63" s="283" t="s">
        <v>876</v>
      </c>
      <c r="C63" s="305">
        <f>IFERROR(SUMIF(初度設備!$C$30:$C$74,B63,初度設備!$K$30:$K$74)*((初度設備!$H$3-初度設備!$I$3)/初度設備!$H$3),0)</f>
        <v>0</v>
      </c>
      <c r="D63" s="306">
        <f t="shared" si="2"/>
        <v>0</v>
      </c>
      <c r="E63" s="305">
        <f>IFERROR(SUMIF(人工呼吸器!$C$30:$C$74,B63,人工呼吸器!$K$30:$K$74)*((人工呼吸器!$H$3-人工呼吸器!$I$3)/人工呼吸器!$H$3),0)</f>
        <v>0</v>
      </c>
      <c r="F63" s="306">
        <f t="shared" si="3"/>
        <v>0</v>
      </c>
      <c r="G63" s="306">
        <f t="shared" si="4"/>
        <v>0</v>
      </c>
      <c r="H63" s="306">
        <f t="shared" si="5"/>
        <v>0</v>
      </c>
      <c r="I63" s="305">
        <f>IFERROR(SUMIF(簡易陰圧装置!$C$30:$C$74,B63,簡易陰圧装置!$K$30:$K$74)*((簡易陰圧装置!$H$3-簡易陰圧装置!$I$3)/簡易陰圧装置!$H$3),0)</f>
        <v>0</v>
      </c>
      <c r="J63" s="306">
        <f t="shared" si="6"/>
        <v>0</v>
      </c>
      <c r="K63" s="305">
        <f>IFERROR(SUMIF(簡易ベッド!$C$30:$C$74,B63,簡易ベッド!$K$30:$K$74)*((簡易ベッド!$H$3-簡易ベッド!$I$3)/簡易ベッド!$H$3),0)</f>
        <v>0</v>
      </c>
      <c r="L63" s="306">
        <f t="shared" si="7"/>
        <v>0</v>
      </c>
      <c r="M63" s="305">
        <f>IFERROR(SUMIF(体外式膜型人工肺!$C$30:$C$74,B63,体外式膜型人工肺!$K$30:$K$74)*((体外式膜型人工肺!$H$3-体外式膜型人工肺!$I$3)/体外式膜型人工肺!$H$3),0)</f>
        <v>0</v>
      </c>
      <c r="N63" s="306">
        <f t="shared" si="8"/>
        <v>0</v>
      </c>
      <c r="O63" s="306">
        <f t="shared" si="9"/>
        <v>0</v>
      </c>
      <c r="P63" s="306">
        <f t="shared" si="10"/>
        <v>0</v>
      </c>
      <c r="Q63" s="305">
        <f>IFERROR(SUMIF(紫外線照射装置!$C$30:$C$74,B63,紫外線照射装置!$K$30:$K$74)*((紫外線照射装置!$H$3-紫外線照射装置!$I$3)/紫外線照射装置!$H$3),0)</f>
        <v>0</v>
      </c>
      <c r="R63" s="306">
        <f t="shared" si="11"/>
        <v>0</v>
      </c>
      <c r="S63" s="419">
        <f t="shared" si="12"/>
        <v>0</v>
      </c>
      <c r="T63" s="305">
        <f>IFERROR(SUMIF(超音波画像診断装置!$C$30:$C$74,B63,超音波画像診断装置!$K$30:$K$74)*((超音波画像診断装置!$H$3-超音波画像診断装置!$I$3)/超音波画像診断装置!$H$3),0)</f>
        <v>0</v>
      </c>
      <c r="U63" s="306">
        <f t="shared" si="13"/>
        <v>0</v>
      </c>
      <c r="V63" s="305">
        <f>IFERROR(SUMIF(血液浄化装置!$C$30:$C$74,B63,血液浄化装置!$K$30:$K$74)*((血液浄化装置!$H$3-血液浄化装置!$I$3)/血液浄化装置!$H$3),0)</f>
        <v>0</v>
      </c>
      <c r="W63" s="306">
        <f t="shared" si="14"/>
        <v>0</v>
      </c>
      <c r="X63" s="305">
        <f>IFERROR(SUMIF(気管支鏡!$C$30:$C$74,B63,気管支鏡!$K$30:$K$74)*((気管支鏡!$H$3-気管支鏡!$I$3)/気管支鏡!$H$3),0)</f>
        <v>0</v>
      </c>
      <c r="Y63" s="306">
        <f t="shared" si="0"/>
        <v>0</v>
      </c>
      <c r="Z63" s="305">
        <f>IFERROR(SUMIF(CT撮影装置!$C$30:$C$74,B63,CT撮影装置!$K$30:$K$74)*((CT撮影装置!$H$3-CT撮影装置!$I$3)/CT撮影装置!$H$3),0)</f>
        <v>0</v>
      </c>
      <c r="AA63" s="306">
        <f t="shared" si="15"/>
        <v>0</v>
      </c>
      <c r="AB63" s="305">
        <f>IFERROR(SUMIF(生体情報モニタ!$C$30:$C$74,B63,生体情報モニタ!$K$30:$K$74)*((生体情報モニタ!$H$3-生体情報モニタ!$I$3)/生体情報モニタ!$H$3),0)</f>
        <v>0</v>
      </c>
      <c r="AC63" s="306">
        <f t="shared" si="1"/>
        <v>0</v>
      </c>
      <c r="AD63" s="305">
        <f>IFERROR(SUMIF(分娩監視装置!$C$30:$C$74,B63,分娩監視装置!$K$30:$K$74)*((分娩監視装置!$H$3-分娩監視装置!$I$3)/分娩監視装置!$H$3),0)</f>
        <v>0</v>
      </c>
      <c r="AE63" s="306">
        <f t="shared" si="16"/>
        <v>0</v>
      </c>
      <c r="AF63" s="305">
        <f>IFERROR(SUMIF(新生児モニタ!$C$30:$C$74,B63,新生児モニタ!$K$30:$K$74)*((新生児モニタ!$H$3-新生児モニタ!$I$3)/新生児モニタ!$H$3),0)</f>
        <v>0</v>
      </c>
      <c r="AG63" s="306">
        <f t="shared" si="17"/>
        <v>0</v>
      </c>
    </row>
    <row r="64" spans="2:33">
      <c r="B64" s="283" t="s">
        <v>877</v>
      </c>
      <c r="C64" s="305">
        <f>IFERROR(SUMIF(初度設備!$C$30:$C$74,B64,初度設備!$K$30:$K$74)*((初度設備!$H$3-初度設備!$I$3)/初度設備!$H$3),0)</f>
        <v>0</v>
      </c>
      <c r="D64" s="306">
        <f t="shared" si="2"/>
        <v>0</v>
      </c>
      <c r="E64" s="305">
        <f>IFERROR(SUMIF(人工呼吸器!$C$30:$C$74,B64,人工呼吸器!$K$30:$K$74)*((人工呼吸器!$H$3-人工呼吸器!$I$3)/人工呼吸器!$H$3),0)</f>
        <v>0</v>
      </c>
      <c r="F64" s="306">
        <f t="shared" si="3"/>
        <v>0</v>
      </c>
      <c r="G64" s="306">
        <f t="shared" si="4"/>
        <v>0</v>
      </c>
      <c r="H64" s="306">
        <f t="shared" si="5"/>
        <v>0</v>
      </c>
      <c r="I64" s="305">
        <f>IFERROR(SUMIF(簡易陰圧装置!$C$30:$C$74,B64,簡易陰圧装置!$K$30:$K$74)*((簡易陰圧装置!$H$3-簡易陰圧装置!$I$3)/簡易陰圧装置!$H$3),0)</f>
        <v>0</v>
      </c>
      <c r="J64" s="306">
        <f t="shared" si="6"/>
        <v>0</v>
      </c>
      <c r="K64" s="305">
        <f>IFERROR(SUMIF(簡易ベッド!$C$30:$C$74,B64,簡易ベッド!$K$30:$K$74)*((簡易ベッド!$H$3-簡易ベッド!$I$3)/簡易ベッド!$H$3),0)</f>
        <v>0</v>
      </c>
      <c r="L64" s="306">
        <f t="shared" si="7"/>
        <v>0</v>
      </c>
      <c r="M64" s="305">
        <f>IFERROR(SUMIF(体外式膜型人工肺!$C$30:$C$74,B64,体外式膜型人工肺!$K$30:$K$74)*((体外式膜型人工肺!$H$3-体外式膜型人工肺!$I$3)/体外式膜型人工肺!$H$3),0)</f>
        <v>0</v>
      </c>
      <c r="N64" s="306">
        <f t="shared" si="8"/>
        <v>0</v>
      </c>
      <c r="O64" s="306">
        <f t="shared" si="9"/>
        <v>0</v>
      </c>
      <c r="P64" s="306">
        <f t="shared" si="10"/>
        <v>0</v>
      </c>
      <c r="Q64" s="305">
        <f>IFERROR(SUMIF(紫外線照射装置!$C$30:$C$74,B64,紫外線照射装置!$K$30:$K$74)*((紫外線照射装置!$H$3-紫外線照射装置!$I$3)/紫外線照射装置!$H$3),0)</f>
        <v>0</v>
      </c>
      <c r="R64" s="306">
        <f t="shared" si="11"/>
        <v>0</v>
      </c>
      <c r="S64" s="419">
        <f t="shared" si="12"/>
        <v>0</v>
      </c>
      <c r="T64" s="305">
        <f>IFERROR(SUMIF(超音波画像診断装置!$C$30:$C$74,B64,超音波画像診断装置!$K$30:$K$74)*((超音波画像診断装置!$H$3-超音波画像診断装置!$I$3)/超音波画像診断装置!$H$3),0)</f>
        <v>0</v>
      </c>
      <c r="U64" s="306">
        <f t="shared" si="13"/>
        <v>0</v>
      </c>
      <c r="V64" s="305">
        <f>IFERROR(SUMIF(血液浄化装置!$C$30:$C$74,B64,血液浄化装置!$K$30:$K$74)*((血液浄化装置!$H$3-血液浄化装置!$I$3)/血液浄化装置!$H$3),0)</f>
        <v>0</v>
      </c>
      <c r="W64" s="306">
        <f t="shared" si="14"/>
        <v>0</v>
      </c>
      <c r="X64" s="305">
        <f>IFERROR(SUMIF(気管支鏡!$C$30:$C$74,B64,気管支鏡!$K$30:$K$74)*((気管支鏡!$H$3-気管支鏡!$I$3)/気管支鏡!$H$3),0)</f>
        <v>0</v>
      </c>
      <c r="Y64" s="306">
        <f t="shared" si="0"/>
        <v>0</v>
      </c>
      <c r="Z64" s="305">
        <f>IFERROR(SUMIF(CT撮影装置!$C$30:$C$74,B64,CT撮影装置!$K$30:$K$74)*((CT撮影装置!$H$3-CT撮影装置!$I$3)/CT撮影装置!$H$3),0)</f>
        <v>0</v>
      </c>
      <c r="AA64" s="306">
        <f t="shared" si="15"/>
        <v>0</v>
      </c>
      <c r="AB64" s="305">
        <f>IFERROR(SUMIF(生体情報モニタ!$C$30:$C$74,B64,生体情報モニタ!$K$30:$K$74)*((生体情報モニタ!$H$3-生体情報モニタ!$I$3)/生体情報モニタ!$H$3),0)</f>
        <v>0</v>
      </c>
      <c r="AC64" s="306">
        <f t="shared" si="1"/>
        <v>0</v>
      </c>
      <c r="AD64" s="305">
        <f>IFERROR(SUMIF(分娩監視装置!$C$30:$C$74,B64,分娩監視装置!$K$30:$K$74)*((分娩監視装置!$H$3-分娩監視装置!$I$3)/分娩監視装置!$H$3),0)</f>
        <v>0</v>
      </c>
      <c r="AE64" s="306">
        <f t="shared" si="16"/>
        <v>0</v>
      </c>
      <c r="AF64" s="305">
        <f>IFERROR(SUMIF(新生児モニタ!$C$30:$C$74,B64,新生児モニタ!$K$30:$K$74)*((新生児モニタ!$H$3-新生児モニタ!$I$3)/新生児モニタ!$H$3),0)</f>
        <v>0</v>
      </c>
      <c r="AG64" s="306">
        <f t="shared" si="17"/>
        <v>0</v>
      </c>
    </row>
    <row r="65" spans="2:33">
      <c r="B65" s="283" t="s">
        <v>878</v>
      </c>
      <c r="C65" s="305">
        <f>IFERROR(SUMIF(初度設備!$C$30:$C$74,B65,初度設備!$K$30:$K$74)*((初度設備!$H$3-初度設備!$I$3)/初度設備!$H$3),0)</f>
        <v>0</v>
      </c>
      <c r="D65" s="306">
        <f t="shared" si="2"/>
        <v>0</v>
      </c>
      <c r="E65" s="305">
        <f>IFERROR(SUMIF(人工呼吸器!$C$30:$C$74,B65,人工呼吸器!$K$30:$K$74)*((人工呼吸器!$H$3-人工呼吸器!$I$3)/人工呼吸器!$H$3),0)</f>
        <v>0</v>
      </c>
      <c r="F65" s="306">
        <f t="shared" si="3"/>
        <v>0</v>
      </c>
      <c r="G65" s="306">
        <f t="shared" si="4"/>
        <v>0</v>
      </c>
      <c r="H65" s="306">
        <f t="shared" si="5"/>
        <v>0</v>
      </c>
      <c r="I65" s="305">
        <f>IFERROR(SUMIF(簡易陰圧装置!$C$30:$C$74,B65,簡易陰圧装置!$K$30:$K$74)*((簡易陰圧装置!$H$3-簡易陰圧装置!$I$3)/簡易陰圧装置!$H$3),0)</f>
        <v>0</v>
      </c>
      <c r="J65" s="306">
        <f t="shared" si="6"/>
        <v>0</v>
      </c>
      <c r="K65" s="305">
        <f>IFERROR(SUMIF(簡易ベッド!$C$30:$C$74,B65,簡易ベッド!$K$30:$K$74)*((簡易ベッド!$H$3-簡易ベッド!$I$3)/簡易ベッド!$H$3),0)</f>
        <v>0</v>
      </c>
      <c r="L65" s="306">
        <f t="shared" si="7"/>
        <v>0</v>
      </c>
      <c r="M65" s="305">
        <f>IFERROR(SUMIF(体外式膜型人工肺!$C$30:$C$74,B65,体外式膜型人工肺!$K$30:$K$74)*((体外式膜型人工肺!$H$3-体外式膜型人工肺!$I$3)/体外式膜型人工肺!$H$3),0)</f>
        <v>0</v>
      </c>
      <c r="N65" s="306">
        <f t="shared" si="8"/>
        <v>0</v>
      </c>
      <c r="O65" s="306">
        <f t="shared" si="9"/>
        <v>0</v>
      </c>
      <c r="P65" s="306">
        <f t="shared" si="10"/>
        <v>0</v>
      </c>
      <c r="Q65" s="305">
        <f>IFERROR(SUMIF(紫外線照射装置!$C$30:$C$74,B65,紫外線照射装置!$K$30:$K$74)*((紫外線照射装置!$H$3-紫外線照射装置!$I$3)/紫外線照射装置!$H$3),0)</f>
        <v>0</v>
      </c>
      <c r="R65" s="306">
        <f t="shared" si="11"/>
        <v>0</v>
      </c>
      <c r="S65" s="419">
        <f t="shared" si="12"/>
        <v>0</v>
      </c>
      <c r="T65" s="305">
        <f>IFERROR(SUMIF(超音波画像診断装置!$C$30:$C$74,B65,超音波画像診断装置!$K$30:$K$74)*((超音波画像診断装置!$H$3-超音波画像診断装置!$I$3)/超音波画像診断装置!$H$3),0)</f>
        <v>0</v>
      </c>
      <c r="U65" s="306">
        <f t="shared" si="13"/>
        <v>0</v>
      </c>
      <c r="V65" s="305">
        <f>IFERROR(SUMIF(血液浄化装置!$C$30:$C$74,B65,血液浄化装置!$K$30:$K$74)*((血液浄化装置!$H$3-血液浄化装置!$I$3)/血液浄化装置!$H$3),0)</f>
        <v>0</v>
      </c>
      <c r="W65" s="306">
        <f t="shared" si="14"/>
        <v>0</v>
      </c>
      <c r="X65" s="305">
        <f>IFERROR(SUMIF(気管支鏡!$C$30:$C$74,B65,気管支鏡!$K$30:$K$74)*((気管支鏡!$H$3-気管支鏡!$I$3)/気管支鏡!$H$3),0)</f>
        <v>0</v>
      </c>
      <c r="Y65" s="306">
        <f t="shared" si="0"/>
        <v>0</v>
      </c>
      <c r="Z65" s="305">
        <f>IFERROR(SUMIF(CT撮影装置!$C$30:$C$74,B65,CT撮影装置!$K$30:$K$74)*((CT撮影装置!$H$3-CT撮影装置!$I$3)/CT撮影装置!$H$3),0)</f>
        <v>0</v>
      </c>
      <c r="AA65" s="306">
        <f t="shared" si="15"/>
        <v>0</v>
      </c>
      <c r="AB65" s="305">
        <f>IFERROR(SUMIF(生体情報モニタ!$C$30:$C$74,B65,生体情報モニタ!$K$30:$K$74)*((生体情報モニタ!$H$3-生体情報モニタ!$I$3)/生体情報モニタ!$H$3),0)</f>
        <v>0</v>
      </c>
      <c r="AC65" s="306">
        <f t="shared" si="1"/>
        <v>0</v>
      </c>
      <c r="AD65" s="305">
        <f>IFERROR(SUMIF(分娩監視装置!$C$30:$C$74,B65,分娩監視装置!$K$30:$K$74)*((分娩監視装置!$H$3-分娩監視装置!$I$3)/分娩監視装置!$H$3),0)</f>
        <v>0</v>
      </c>
      <c r="AE65" s="306">
        <f t="shared" si="16"/>
        <v>0</v>
      </c>
      <c r="AF65" s="305">
        <f>IFERROR(SUMIF(新生児モニタ!$C$30:$C$74,B65,新生児モニタ!$K$30:$K$74)*((新生児モニタ!$H$3-新生児モニタ!$I$3)/新生児モニタ!$H$3),0)</f>
        <v>0</v>
      </c>
      <c r="AG65" s="306">
        <f t="shared" si="17"/>
        <v>0</v>
      </c>
    </row>
    <row r="66" spans="2:33">
      <c r="B66" s="283" t="s">
        <v>879</v>
      </c>
      <c r="C66" s="305">
        <f>IFERROR(SUMIF(初度設備!$C$30:$C$74,B66,初度設備!$K$30:$K$74)*((初度設備!$H$3-初度設備!$I$3)/初度設備!$H$3),0)</f>
        <v>0</v>
      </c>
      <c r="D66" s="306">
        <f t="shared" si="2"/>
        <v>0</v>
      </c>
      <c r="E66" s="305">
        <f>IFERROR(SUMIF(人工呼吸器!$C$30:$C$74,B66,人工呼吸器!$K$30:$K$74)*((人工呼吸器!$H$3-人工呼吸器!$I$3)/人工呼吸器!$H$3),0)</f>
        <v>0</v>
      </c>
      <c r="F66" s="306">
        <f t="shared" si="3"/>
        <v>0</v>
      </c>
      <c r="G66" s="306">
        <f t="shared" si="4"/>
        <v>0</v>
      </c>
      <c r="H66" s="306">
        <f t="shared" si="5"/>
        <v>0</v>
      </c>
      <c r="I66" s="305">
        <f>IFERROR(SUMIF(簡易陰圧装置!$C$30:$C$74,B66,簡易陰圧装置!$K$30:$K$74)*((簡易陰圧装置!$H$3-簡易陰圧装置!$I$3)/簡易陰圧装置!$H$3),0)</f>
        <v>0</v>
      </c>
      <c r="J66" s="306">
        <f t="shared" si="6"/>
        <v>0</v>
      </c>
      <c r="K66" s="305">
        <f>IFERROR(SUMIF(簡易ベッド!$C$30:$C$74,B66,簡易ベッド!$K$30:$K$74)*((簡易ベッド!$H$3-簡易ベッド!$I$3)/簡易ベッド!$H$3),0)</f>
        <v>0</v>
      </c>
      <c r="L66" s="306">
        <f t="shared" si="7"/>
        <v>0</v>
      </c>
      <c r="M66" s="305">
        <f>IFERROR(SUMIF(体外式膜型人工肺!$C$30:$C$74,B66,体外式膜型人工肺!$K$30:$K$74)*((体外式膜型人工肺!$H$3-体外式膜型人工肺!$I$3)/体外式膜型人工肺!$H$3),0)</f>
        <v>0</v>
      </c>
      <c r="N66" s="306">
        <f t="shared" si="8"/>
        <v>0</v>
      </c>
      <c r="O66" s="306">
        <f t="shared" si="9"/>
        <v>0</v>
      </c>
      <c r="P66" s="306">
        <f t="shared" si="10"/>
        <v>0</v>
      </c>
      <c r="Q66" s="305">
        <f>IFERROR(SUMIF(紫外線照射装置!$C$30:$C$74,B66,紫外線照射装置!$K$30:$K$74)*((紫外線照射装置!$H$3-紫外線照射装置!$I$3)/紫外線照射装置!$H$3),0)</f>
        <v>0</v>
      </c>
      <c r="R66" s="306">
        <f t="shared" si="11"/>
        <v>0</v>
      </c>
      <c r="S66" s="419">
        <f t="shared" si="12"/>
        <v>0</v>
      </c>
      <c r="T66" s="305">
        <f>IFERROR(SUMIF(超音波画像診断装置!$C$30:$C$74,B66,超音波画像診断装置!$K$30:$K$74)*((超音波画像診断装置!$H$3-超音波画像診断装置!$I$3)/超音波画像診断装置!$H$3),0)</f>
        <v>0</v>
      </c>
      <c r="U66" s="306">
        <f t="shared" si="13"/>
        <v>0</v>
      </c>
      <c r="V66" s="305">
        <f>IFERROR(SUMIF(血液浄化装置!$C$30:$C$74,B66,血液浄化装置!$K$30:$K$74)*((血液浄化装置!$H$3-血液浄化装置!$I$3)/血液浄化装置!$H$3),0)</f>
        <v>0</v>
      </c>
      <c r="W66" s="306">
        <f t="shared" si="14"/>
        <v>0</v>
      </c>
      <c r="X66" s="305">
        <f>IFERROR(SUMIF(気管支鏡!$C$30:$C$74,B66,気管支鏡!$K$30:$K$74)*((気管支鏡!$H$3-気管支鏡!$I$3)/気管支鏡!$H$3),0)</f>
        <v>0</v>
      </c>
      <c r="Y66" s="306">
        <f t="shared" si="0"/>
        <v>0</v>
      </c>
      <c r="Z66" s="305">
        <f>IFERROR(SUMIF(CT撮影装置!$C$30:$C$74,B66,CT撮影装置!$K$30:$K$74)*((CT撮影装置!$H$3-CT撮影装置!$I$3)/CT撮影装置!$H$3),0)</f>
        <v>0</v>
      </c>
      <c r="AA66" s="306">
        <f t="shared" si="15"/>
        <v>0</v>
      </c>
      <c r="AB66" s="305">
        <f>IFERROR(SUMIF(生体情報モニタ!$C$30:$C$74,B66,生体情報モニタ!$K$30:$K$74)*((生体情報モニタ!$H$3-生体情報モニタ!$I$3)/生体情報モニタ!$H$3),0)</f>
        <v>0</v>
      </c>
      <c r="AC66" s="306">
        <f t="shared" si="1"/>
        <v>0</v>
      </c>
      <c r="AD66" s="305">
        <f>IFERROR(SUMIF(分娩監視装置!$C$30:$C$74,B66,分娩監視装置!$K$30:$K$74)*((分娩監視装置!$H$3-分娩監視装置!$I$3)/分娩監視装置!$H$3),0)</f>
        <v>0</v>
      </c>
      <c r="AE66" s="306">
        <f t="shared" si="16"/>
        <v>0</v>
      </c>
      <c r="AF66" s="305">
        <f>IFERROR(SUMIF(新生児モニタ!$C$30:$C$74,B66,新生児モニタ!$K$30:$K$74)*((新生児モニタ!$H$3-新生児モニタ!$I$3)/新生児モニタ!$H$3),0)</f>
        <v>0</v>
      </c>
      <c r="AG66" s="306">
        <f t="shared" si="17"/>
        <v>0</v>
      </c>
    </row>
    <row r="67" spans="2:33">
      <c r="B67" s="283" t="s">
        <v>880</v>
      </c>
      <c r="C67" s="305">
        <f>IFERROR(SUMIF(初度設備!$C$30:$C$74,B67,初度設備!$K$30:$K$74)*((初度設備!$H$3-初度設備!$I$3)/初度設備!$H$3),0)</f>
        <v>0</v>
      </c>
      <c r="D67" s="306">
        <f t="shared" si="2"/>
        <v>0</v>
      </c>
      <c r="E67" s="305">
        <f>IFERROR(SUMIF(人工呼吸器!$C$30:$C$74,B67,人工呼吸器!$K$30:$K$74)*((人工呼吸器!$H$3-人工呼吸器!$I$3)/人工呼吸器!$H$3),0)</f>
        <v>0</v>
      </c>
      <c r="F67" s="306">
        <f t="shared" si="3"/>
        <v>0</v>
      </c>
      <c r="G67" s="306">
        <f t="shared" si="4"/>
        <v>0</v>
      </c>
      <c r="H67" s="306">
        <f t="shared" si="5"/>
        <v>0</v>
      </c>
      <c r="I67" s="305">
        <f>IFERROR(SUMIF(簡易陰圧装置!$C$30:$C$74,B67,簡易陰圧装置!$K$30:$K$74)*((簡易陰圧装置!$H$3-簡易陰圧装置!$I$3)/簡易陰圧装置!$H$3),0)</f>
        <v>0</v>
      </c>
      <c r="J67" s="306">
        <f t="shared" si="6"/>
        <v>0</v>
      </c>
      <c r="K67" s="305">
        <f>IFERROR(SUMIF(簡易ベッド!$C$30:$C$74,B67,簡易ベッド!$K$30:$K$74)*((簡易ベッド!$H$3-簡易ベッド!$I$3)/簡易ベッド!$H$3),0)</f>
        <v>0</v>
      </c>
      <c r="L67" s="306">
        <f t="shared" si="7"/>
        <v>0</v>
      </c>
      <c r="M67" s="305">
        <f>IFERROR(SUMIF(体外式膜型人工肺!$C$30:$C$74,B67,体外式膜型人工肺!$K$30:$K$74)*((体外式膜型人工肺!$H$3-体外式膜型人工肺!$I$3)/体外式膜型人工肺!$H$3),0)</f>
        <v>0</v>
      </c>
      <c r="N67" s="306">
        <f t="shared" si="8"/>
        <v>0</v>
      </c>
      <c r="O67" s="306">
        <f t="shared" si="9"/>
        <v>0</v>
      </c>
      <c r="P67" s="306">
        <f t="shared" si="10"/>
        <v>0</v>
      </c>
      <c r="Q67" s="305">
        <f>IFERROR(SUMIF(紫外線照射装置!$C$30:$C$74,B67,紫外線照射装置!$K$30:$K$74)*((紫外線照射装置!$H$3-紫外線照射装置!$I$3)/紫外線照射装置!$H$3),0)</f>
        <v>0</v>
      </c>
      <c r="R67" s="306">
        <f t="shared" si="11"/>
        <v>0</v>
      </c>
      <c r="S67" s="419">
        <f t="shared" si="12"/>
        <v>0</v>
      </c>
      <c r="T67" s="305">
        <f>IFERROR(SUMIF(超音波画像診断装置!$C$30:$C$74,B67,超音波画像診断装置!$K$30:$K$74)*((超音波画像診断装置!$H$3-超音波画像診断装置!$I$3)/超音波画像診断装置!$H$3),0)</f>
        <v>0</v>
      </c>
      <c r="U67" s="306">
        <f t="shared" si="13"/>
        <v>0</v>
      </c>
      <c r="V67" s="305">
        <f>IFERROR(SUMIF(血液浄化装置!$C$30:$C$74,B67,血液浄化装置!$K$30:$K$74)*((血液浄化装置!$H$3-血液浄化装置!$I$3)/血液浄化装置!$H$3),0)</f>
        <v>0</v>
      </c>
      <c r="W67" s="306">
        <f t="shared" si="14"/>
        <v>0</v>
      </c>
      <c r="X67" s="305">
        <f>IFERROR(SUMIF(気管支鏡!$C$30:$C$74,B67,気管支鏡!$K$30:$K$74)*((気管支鏡!$H$3-気管支鏡!$I$3)/気管支鏡!$H$3),0)</f>
        <v>0</v>
      </c>
      <c r="Y67" s="306">
        <f t="shared" si="0"/>
        <v>0</v>
      </c>
      <c r="Z67" s="305">
        <f>IFERROR(SUMIF(CT撮影装置!$C$30:$C$74,B67,CT撮影装置!$K$30:$K$74)*((CT撮影装置!$H$3-CT撮影装置!$I$3)/CT撮影装置!$H$3),0)</f>
        <v>0</v>
      </c>
      <c r="AA67" s="306">
        <f t="shared" si="15"/>
        <v>0</v>
      </c>
      <c r="AB67" s="305">
        <f>IFERROR(SUMIF(生体情報モニタ!$C$30:$C$74,B67,生体情報モニタ!$K$30:$K$74)*((生体情報モニタ!$H$3-生体情報モニタ!$I$3)/生体情報モニタ!$H$3),0)</f>
        <v>0</v>
      </c>
      <c r="AC67" s="306">
        <f t="shared" si="1"/>
        <v>0</v>
      </c>
      <c r="AD67" s="305">
        <f>IFERROR(SUMIF(分娩監視装置!$C$30:$C$74,B67,分娩監視装置!$K$30:$K$74)*((分娩監視装置!$H$3-分娩監視装置!$I$3)/分娩監視装置!$H$3),0)</f>
        <v>0</v>
      </c>
      <c r="AE67" s="306">
        <f t="shared" si="16"/>
        <v>0</v>
      </c>
      <c r="AF67" s="305">
        <f>IFERROR(SUMIF(新生児モニタ!$C$30:$C$74,B67,新生児モニタ!$K$30:$K$74)*((新生児モニタ!$H$3-新生児モニタ!$I$3)/新生児モニタ!$H$3),0)</f>
        <v>0</v>
      </c>
      <c r="AG67" s="306">
        <f t="shared" si="17"/>
        <v>0</v>
      </c>
    </row>
    <row r="68" spans="2:33">
      <c r="B68" s="283" t="s">
        <v>881</v>
      </c>
      <c r="C68" s="305">
        <f>IFERROR(SUMIF(初度設備!$C$30:$C$74,B68,初度設備!$K$30:$K$74)*((初度設備!$H$3-初度設備!$I$3)/初度設備!$H$3),0)</f>
        <v>0</v>
      </c>
      <c r="D68" s="306">
        <f t="shared" si="2"/>
        <v>0</v>
      </c>
      <c r="E68" s="305">
        <f>IFERROR(SUMIF(人工呼吸器!$C$30:$C$74,B68,人工呼吸器!$K$30:$K$74)*((人工呼吸器!$H$3-人工呼吸器!$I$3)/人工呼吸器!$H$3),0)</f>
        <v>0</v>
      </c>
      <c r="F68" s="306">
        <f t="shared" si="3"/>
        <v>0</v>
      </c>
      <c r="G68" s="306">
        <f t="shared" si="4"/>
        <v>0</v>
      </c>
      <c r="H68" s="306">
        <f t="shared" si="5"/>
        <v>0</v>
      </c>
      <c r="I68" s="305">
        <f>IFERROR(SUMIF(簡易陰圧装置!$C$30:$C$74,B68,簡易陰圧装置!$K$30:$K$74)*((簡易陰圧装置!$H$3-簡易陰圧装置!$I$3)/簡易陰圧装置!$H$3),0)</f>
        <v>0</v>
      </c>
      <c r="J68" s="306">
        <f t="shared" si="6"/>
        <v>0</v>
      </c>
      <c r="K68" s="305">
        <f>IFERROR(SUMIF(簡易ベッド!$C$30:$C$74,B68,簡易ベッド!$K$30:$K$74)*((簡易ベッド!$H$3-簡易ベッド!$I$3)/簡易ベッド!$H$3),0)</f>
        <v>0</v>
      </c>
      <c r="L68" s="306">
        <f t="shared" si="7"/>
        <v>0</v>
      </c>
      <c r="M68" s="305">
        <f>IFERROR(SUMIF(体外式膜型人工肺!$C$30:$C$74,B68,体外式膜型人工肺!$K$30:$K$74)*((体外式膜型人工肺!$H$3-体外式膜型人工肺!$I$3)/体外式膜型人工肺!$H$3),0)</f>
        <v>0</v>
      </c>
      <c r="N68" s="306">
        <f t="shared" si="8"/>
        <v>0</v>
      </c>
      <c r="O68" s="306">
        <f t="shared" si="9"/>
        <v>0</v>
      </c>
      <c r="P68" s="306">
        <f t="shared" si="10"/>
        <v>0</v>
      </c>
      <c r="Q68" s="305">
        <f>IFERROR(SUMIF(紫外線照射装置!$C$30:$C$74,B68,紫外線照射装置!$K$30:$K$74)*((紫外線照射装置!$H$3-紫外線照射装置!$I$3)/紫外線照射装置!$H$3),0)</f>
        <v>0</v>
      </c>
      <c r="R68" s="306">
        <f t="shared" si="11"/>
        <v>0</v>
      </c>
      <c r="S68" s="419">
        <f t="shared" si="12"/>
        <v>0</v>
      </c>
      <c r="T68" s="305">
        <f>IFERROR(SUMIF(超音波画像診断装置!$C$30:$C$74,B68,超音波画像診断装置!$K$30:$K$74)*((超音波画像診断装置!$H$3-超音波画像診断装置!$I$3)/超音波画像診断装置!$H$3),0)</f>
        <v>0</v>
      </c>
      <c r="U68" s="306">
        <f t="shared" si="13"/>
        <v>0</v>
      </c>
      <c r="V68" s="305">
        <f>IFERROR(SUMIF(血液浄化装置!$C$30:$C$74,B68,血液浄化装置!$K$30:$K$74)*((血液浄化装置!$H$3-血液浄化装置!$I$3)/血液浄化装置!$H$3),0)</f>
        <v>0</v>
      </c>
      <c r="W68" s="306">
        <f t="shared" si="14"/>
        <v>0</v>
      </c>
      <c r="X68" s="305">
        <f>IFERROR(SUMIF(気管支鏡!$C$30:$C$74,B68,気管支鏡!$K$30:$K$74)*((気管支鏡!$H$3-気管支鏡!$I$3)/気管支鏡!$H$3),0)</f>
        <v>0</v>
      </c>
      <c r="Y68" s="306">
        <f t="shared" si="0"/>
        <v>0</v>
      </c>
      <c r="Z68" s="305">
        <f>IFERROR(SUMIF(CT撮影装置!$C$30:$C$74,B68,CT撮影装置!$K$30:$K$74)*((CT撮影装置!$H$3-CT撮影装置!$I$3)/CT撮影装置!$H$3),0)</f>
        <v>0</v>
      </c>
      <c r="AA68" s="306">
        <f t="shared" si="15"/>
        <v>0</v>
      </c>
      <c r="AB68" s="305">
        <f>IFERROR(SUMIF(生体情報モニタ!$C$30:$C$74,B68,生体情報モニタ!$K$30:$K$74)*((生体情報モニタ!$H$3-生体情報モニタ!$I$3)/生体情報モニタ!$H$3),0)</f>
        <v>0</v>
      </c>
      <c r="AC68" s="306">
        <f t="shared" si="1"/>
        <v>0</v>
      </c>
      <c r="AD68" s="305">
        <f>IFERROR(SUMIF(分娩監視装置!$C$30:$C$74,B68,分娩監視装置!$K$30:$K$74)*((分娩監視装置!$H$3-分娩監視装置!$I$3)/分娩監視装置!$H$3),0)</f>
        <v>0</v>
      </c>
      <c r="AE68" s="306">
        <f t="shared" si="16"/>
        <v>0</v>
      </c>
      <c r="AF68" s="305">
        <f>IFERROR(SUMIF(新生児モニタ!$C$30:$C$74,B68,新生児モニタ!$K$30:$K$74)*((新生児モニタ!$H$3-新生児モニタ!$I$3)/新生児モニタ!$H$3),0)</f>
        <v>0</v>
      </c>
      <c r="AG68" s="306">
        <f t="shared" si="17"/>
        <v>0</v>
      </c>
    </row>
    <row r="69" spans="2:33">
      <c r="B69" s="283" t="s">
        <v>882</v>
      </c>
      <c r="C69" s="305">
        <f>IFERROR(SUMIF(初度設備!$C$30:$C$74,B69,初度設備!$K$30:$K$74)*((初度設備!$H$3-初度設備!$I$3)/初度設備!$H$3),0)</f>
        <v>0</v>
      </c>
      <c r="D69" s="306">
        <f t="shared" si="2"/>
        <v>0</v>
      </c>
      <c r="E69" s="305">
        <f>IFERROR(SUMIF(人工呼吸器!$C$30:$C$74,B69,人工呼吸器!$K$30:$K$74)*((人工呼吸器!$H$3-人工呼吸器!$I$3)/人工呼吸器!$H$3),0)</f>
        <v>0</v>
      </c>
      <c r="F69" s="306">
        <f t="shared" si="3"/>
        <v>0</v>
      </c>
      <c r="G69" s="306">
        <f t="shared" si="4"/>
        <v>0</v>
      </c>
      <c r="H69" s="306">
        <f t="shared" si="5"/>
        <v>0</v>
      </c>
      <c r="I69" s="305">
        <f>IFERROR(SUMIF(簡易陰圧装置!$C$30:$C$74,B69,簡易陰圧装置!$K$30:$K$74)*((簡易陰圧装置!$H$3-簡易陰圧装置!$I$3)/簡易陰圧装置!$H$3),0)</f>
        <v>0</v>
      </c>
      <c r="J69" s="306">
        <f t="shared" si="6"/>
        <v>0</v>
      </c>
      <c r="K69" s="305">
        <f>IFERROR(SUMIF(簡易ベッド!$C$30:$C$74,B69,簡易ベッド!$K$30:$K$74)*((簡易ベッド!$H$3-簡易ベッド!$I$3)/簡易ベッド!$H$3),0)</f>
        <v>0</v>
      </c>
      <c r="L69" s="306">
        <f t="shared" si="7"/>
        <v>0</v>
      </c>
      <c r="M69" s="305">
        <f>IFERROR(SUMIF(体外式膜型人工肺!$C$30:$C$74,B69,体外式膜型人工肺!$K$30:$K$74)*((体外式膜型人工肺!$H$3-体外式膜型人工肺!$I$3)/体外式膜型人工肺!$H$3),0)</f>
        <v>0</v>
      </c>
      <c r="N69" s="306">
        <f t="shared" si="8"/>
        <v>0</v>
      </c>
      <c r="O69" s="306">
        <f t="shared" si="9"/>
        <v>0</v>
      </c>
      <c r="P69" s="306">
        <f t="shared" si="10"/>
        <v>0</v>
      </c>
      <c r="Q69" s="305">
        <f>IFERROR(SUMIF(紫外線照射装置!$C$30:$C$74,B69,紫外線照射装置!$K$30:$K$74)*((紫外線照射装置!$H$3-紫外線照射装置!$I$3)/紫外線照射装置!$H$3),0)</f>
        <v>0</v>
      </c>
      <c r="R69" s="306">
        <f t="shared" si="11"/>
        <v>0</v>
      </c>
      <c r="S69" s="419">
        <f t="shared" si="12"/>
        <v>0</v>
      </c>
      <c r="T69" s="305">
        <f>IFERROR(SUMIF(超音波画像診断装置!$C$30:$C$74,B69,超音波画像診断装置!$K$30:$K$74)*((超音波画像診断装置!$H$3-超音波画像診断装置!$I$3)/超音波画像診断装置!$H$3),0)</f>
        <v>0</v>
      </c>
      <c r="U69" s="306">
        <f t="shared" si="13"/>
        <v>0</v>
      </c>
      <c r="V69" s="305">
        <f>IFERROR(SUMIF(血液浄化装置!$C$30:$C$74,B69,血液浄化装置!$K$30:$K$74)*((血液浄化装置!$H$3-血液浄化装置!$I$3)/血液浄化装置!$H$3),0)</f>
        <v>0</v>
      </c>
      <c r="W69" s="306">
        <f t="shared" si="14"/>
        <v>0</v>
      </c>
      <c r="X69" s="305">
        <f>IFERROR(SUMIF(気管支鏡!$C$30:$C$74,B69,気管支鏡!$K$30:$K$74)*((気管支鏡!$H$3-気管支鏡!$I$3)/気管支鏡!$H$3),0)</f>
        <v>0</v>
      </c>
      <c r="Y69" s="306">
        <f t="shared" si="0"/>
        <v>0</v>
      </c>
      <c r="Z69" s="305">
        <f>IFERROR(SUMIF(CT撮影装置!$C$30:$C$74,B69,CT撮影装置!$K$30:$K$74)*((CT撮影装置!$H$3-CT撮影装置!$I$3)/CT撮影装置!$H$3),0)</f>
        <v>0</v>
      </c>
      <c r="AA69" s="306">
        <f t="shared" si="15"/>
        <v>0</v>
      </c>
      <c r="AB69" s="305">
        <f>IFERROR(SUMIF(生体情報モニタ!$C$30:$C$74,B69,生体情報モニタ!$K$30:$K$74)*((生体情報モニタ!$H$3-生体情報モニタ!$I$3)/生体情報モニタ!$H$3),0)</f>
        <v>0</v>
      </c>
      <c r="AC69" s="306">
        <f t="shared" si="1"/>
        <v>0</v>
      </c>
      <c r="AD69" s="305">
        <f>IFERROR(SUMIF(分娩監視装置!$C$30:$C$74,B69,分娩監視装置!$K$30:$K$74)*((分娩監視装置!$H$3-分娩監視装置!$I$3)/分娩監視装置!$H$3),0)</f>
        <v>0</v>
      </c>
      <c r="AE69" s="306">
        <f t="shared" si="16"/>
        <v>0</v>
      </c>
      <c r="AF69" s="305">
        <f>IFERROR(SUMIF(新生児モニタ!$C$30:$C$74,B69,新生児モニタ!$K$30:$K$74)*((新生児モニタ!$H$3-新生児モニタ!$I$3)/新生児モニタ!$H$3),0)</f>
        <v>0</v>
      </c>
      <c r="AG69" s="306">
        <f t="shared" si="17"/>
        <v>0</v>
      </c>
    </row>
    <row r="70" spans="2:33">
      <c r="B70" s="283" t="s">
        <v>883</v>
      </c>
      <c r="C70" s="305">
        <f>IFERROR(SUMIF(初度設備!$C$30:$C$74,B70,初度設備!$K$30:$K$74)*((初度設備!$H$3-初度設備!$I$3)/初度設備!$H$3),0)</f>
        <v>0</v>
      </c>
      <c r="D70" s="306">
        <f t="shared" si="2"/>
        <v>0</v>
      </c>
      <c r="E70" s="305">
        <f>IFERROR(SUMIF(人工呼吸器!$C$30:$C$74,B70,人工呼吸器!$K$30:$K$74)*((人工呼吸器!$H$3-人工呼吸器!$I$3)/人工呼吸器!$H$3),0)</f>
        <v>0</v>
      </c>
      <c r="F70" s="306">
        <f t="shared" si="3"/>
        <v>0</v>
      </c>
      <c r="G70" s="306">
        <f t="shared" si="4"/>
        <v>0</v>
      </c>
      <c r="H70" s="306">
        <f t="shared" si="5"/>
        <v>0</v>
      </c>
      <c r="I70" s="305">
        <f>IFERROR(SUMIF(簡易陰圧装置!$C$30:$C$74,B70,簡易陰圧装置!$K$30:$K$74)*((簡易陰圧装置!$H$3-簡易陰圧装置!$I$3)/簡易陰圧装置!$H$3),0)</f>
        <v>0</v>
      </c>
      <c r="J70" s="306">
        <f t="shared" si="6"/>
        <v>0</v>
      </c>
      <c r="K70" s="305">
        <f>IFERROR(SUMIF(簡易ベッド!$C$30:$C$74,B70,簡易ベッド!$K$30:$K$74)*((簡易ベッド!$H$3-簡易ベッド!$I$3)/簡易ベッド!$H$3),0)</f>
        <v>0</v>
      </c>
      <c r="L70" s="306">
        <f t="shared" si="7"/>
        <v>0</v>
      </c>
      <c r="M70" s="305">
        <f>IFERROR(SUMIF(体外式膜型人工肺!$C$30:$C$74,B70,体外式膜型人工肺!$K$30:$K$74)*((体外式膜型人工肺!$H$3-体外式膜型人工肺!$I$3)/体外式膜型人工肺!$H$3),0)</f>
        <v>0</v>
      </c>
      <c r="N70" s="306">
        <f t="shared" si="8"/>
        <v>0</v>
      </c>
      <c r="O70" s="306">
        <f t="shared" si="9"/>
        <v>0</v>
      </c>
      <c r="P70" s="306">
        <f t="shared" si="10"/>
        <v>0</v>
      </c>
      <c r="Q70" s="305">
        <f>IFERROR(SUMIF(紫外線照射装置!$C$30:$C$74,B70,紫外線照射装置!$K$30:$K$74)*((紫外線照射装置!$H$3-紫外線照射装置!$I$3)/紫外線照射装置!$H$3),0)</f>
        <v>0</v>
      </c>
      <c r="R70" s="306">
        <f t="shared" si="11"/>
        <v>0</v>
      </c>
      <c r="S70" s="419">
        <f t="shared" si="12"/>
        <v>0</v>
      </c>
      <c r="T70" s="305">
        <f>IFERROR(SUMIF(超音波画像診断装置!$C$30:$C$74,B70,超音波画像診断装置!$K$30:$K$74)*((超音波画像診断装置!$H$3-超音波画像診断装置!$I$3)/超音波画像診断装置!$H$3),0)</f>
        <v>0</v>
      </c>
      <c r="U70" s="306">
        <f t="shared" si="13"/>
        <v>0</v>
      </c>
      <c r="V70" s="305">
        <f>IFERROR(SUMIF(血液浄化装置!$C$30:$C$74,B70,血液浄化装置!$K$30:$K$74)*((血液浄化装置!$H$3-血液浄化装置!$I$3)/血液浄化装置!$H$3),0)</f>
        <v>0</v>
      </c>
      <c r="W70" s="306">
        <f t="shared" si="14"/>
        <v>0</v>
      </c>
      <c r="X70" s="305">
        <f>IFERROR(SUMIF(気管支鏡!$C$30:$C$74,B70,気管支鏡!$K$30:$K$74)*((気管支鏡!$H$3-気管支鏡!$I$3)/気管支鏡!$H$3),0)</f>
        <v>0</v>
      </c>
      <c r="Y70" s="306">
        <f t="shared" si="0"/>
        <v>0</v>
      </c>
      <c r="Z70" s="305">
        <f>IFERROR(SUMIF(CT撮影装置!$C$30:$C$74,B70,CT撮影装置!$K$30:$K$74)*((CT撮影装置!$H$3-CT撮影装置!$I$3)/CT撮影装置!$H$3),0)</f>
        <v>0</v>
      </c>
      <c r="AA70" s="306">
        <f t="shared" si="15"/>
        <v>0</v>
      </c>
      <c r="AB70" s="305">
        <f>IFERROR(SUMIF(生体情報モニタ!$C$30:$C$74,B70,生体情報モニタ!$K$30:$K$74)*((生体情報モニタ!$H$3-生体情報モニタ!$I$3)/生体情報モニタ!$H$3),0)</f>
        <v>0</v>
      </c>
      <c r="AC70" s="306">
        <f t="shared" si="1"/>
        <v>0</v>
      </c>
      <c r="AD70" s="305">
        <f>IFERROR(SUMIF(分娩監視装置!$C$30:$C$74,B70,分娩監視装置!$K$30:$K$74)*((分娩監視装置!$H$3-分娩監視装置!$I$3)/分娩監視装置!$H$3),0)</f>
        <v>0</v>
      </c>
      <c r="AE70" s="306">
        <f t="shared" si="16"/>
        <v>0</v>
      </c>
      <c r="AF70" s="305">
        <f>IFERROR(SUMIF(新生児モニタ!$C$30:$C$74,B70,新生児モニタ!$K$30:$K$74)*((新生児モニタ!$H$3-新生児モニタ!$I$3)/新生児モニタ!$H$3),0)</f>
        <v>0</v>
      </c>
      <c r="AG70" s="306">
        <f t="shared" si="17"/>
        <v>0</v>
      </c>
    </row>
    <row r="71" spans="2:33">
      <c r="B71" s="283" t="s">
        <v>884</v>
      </c>
      <c r="C71" s="305">
        <f>IFERROR(SUMIF(初度設備!$C$30:$C$74,B71,初度設備!$K$30:$K$74)*((初度設備!$H$3-初度設備!$I$3)/初度設備!$H$3),0)</f>
        <v>0</v>
      </c>
      <c r="D71" s="306">
        <f t="shared" si="2"/>
        <v>0</v>
      </c>
      <c r="E71" s="305">
        <f>IFERROR(SUMIF(人工呼吸器!$C$30:$C$74,B71,人工呼吸器!$K$30:$K$74)*((人工呼吸器!$H$3-人工呼吸器!$I$3)/人工呼吸器!$H$3),0)</f>
        <v>0</v>
      </c>
      <c r="F71" s="306">
        <f t="shared" si="3"/>
        <v>0</v>
      </c>
      <c r="G71" s="306">
        <f t="shared" si="4"/>
        <v>0</v>
      </c>
      <c r="H71" s="306">
        <f t="shared" si="5"/>
        <v>0</v>
      </c>
      <c r="I71" s="305">
        <f>IFERROR(SUMIF(簡易陰圧装置!$C$30:$C$74,B71,簡易陰圧装置!$K$30:$K$74)*((簡易陰圧装置!$H$3-簡易陰圧装置!$I$3)/簡易陰圧装置!$H$3),0)</f>
        <v>0</v>
      </c>
      <c r="J71" s="306">
        <f t="shared" si="6"/>
        <v>0</v>
      </c>
      <c r="K71" s="305">
        <f>IFERROR(SUMIF(簡易ベッド!$C$30:$C$74,B71,簡易ベッド!$K$30:$K$74)*((簡易ベッド!$H$3-簡易ベッド!$I$3)/簡易ベッド!$H$3),0)</f>
        <v>0</v>
      </c>
      <c r="L71" s="306">
        <f t="shared" si="7"/>
        <v>0</v>
      </c>
      <c r="M71" s="305">
        <f>IFERROR(SUMIF(体外式膜型人工肺!$C$30:$C$74,B71,体外式膜型人工肺!$K$30:$K$74)*((体外式膜型人工肺!$H$3-体外式膜型人工肺!$I$3)/体外式膜型人工肺!$H$3),0)</f>
        <v>0</v>
      </c>
      <c r="N71" s="306">
        <f t="shared" si="8"/>
        <v>0</v>
      </c>
      <c r="O71" s="306">
        <f t="shared" si="9"/>
        <v>0</v>
      </c>
      <c r="P71" s="306">
        <f t="shared" si="10"/>
        <v>0</v>
      </c>
      <c r="Q71" s="305">
        <f>IFERROR(SUMIF(紫外線照射装置!$C$30:$C$74,B71,紫外線照射装置!$K$30:$K$74)*((紫外線照射装置!$H$3-紫外線照射装置!$I$3)/紫外線照射装置!$H$3),0)</f>
        <v>0</v>
      </c>
      <c r="R71" s="306">
        <f t="shared" si="11"/>
        <v>0</v>
      </c>
      <c r="S71" s="419">
        <f t="shared" si="12"/>
        <v>0</v>
      </c>
      <c r="T71" s="305">
        <f>IFERROR(SUMIF(超音波画像診断装置!$C$30:$C$74,B71,超音波画像診断装置!$K$30:$K$74)*((超音波画像診断装置!$H$3-超音波画像診断装置!$I$3)/超音波画像診断装置!$H$3),0)</f>
        <v>0</v>
      </c>
      <c r="U71" s="306">
        <f t="shared" si="13"/>
        <v>0</v>
      </c>
      <c r="V71" s="305">
        <f>IFERROR(SUMIF(血液浄化装置!$C$30:$C$74,B71,血液浄化装置!$K$30:$K$74)*((血液浄化装置!$H$3-血液浄化装置!$I$3)/血液浄化装置!$H$3),0)</f>
        <v>0</v>
      </c>
      <c r="W71" s="306">
        <f t="shared" si="14"/>
        <v>0</v>
      </c>
      <c r="X71" s="305">
        <f>IFERROR(SUMIF(気管支鏡!$C$30:$C$74,B71,気管支鏡!$K$30:$K$74)*((気管支鏡!$H$3-気管支鏡!$I$3)/気管支鏡!$H$3),0)</f>
        <v>0</v>
      </c>
      <c r="Y71" s="306">
        <f t="shared" si="0"/>
        <v>0</v>
      </c>
      <c r="Z71" s="305">
        <f>IFERROR(SUMIF(CT撮影装置!$C$30:$C$74,B71,CT撮影装置!$K$30:$K$74)*((CT撮影装置!$H$3-CT撮影装置!$I$3)/CT撮影装置!$H$3),0)</f>
        <v>0</v>
      </c>
      <c r="AA71" s="306">
        <f t="shared" si="15"/>
        <v>0</v>
      </c>
      <c r="AB71" s="305">
        <f>IFERROR(SUMIF(生体情報モニタ!$C$30:$C$74,B71,生体情報モニタ!$K$30:$K$74)*((生体情報モニタ!$H$3-生体情報モニタ!$I$3)/生体情報モニタ!$H$3),0)</f>
        <v>0</v>
      </c>
      <c r="AC71" s="306">
        <f t="shared" si="1"/>
        <v>0</v>
      </c>
      <c r="AD71" s="305">
        <f>IFERROR(SUMIF(分娩監視装置!$C$30:$C$74,B71,分娩監視装置!$K$30:$K$74)*((分娩監視装置!$H$3-分娩監視装置!$I$3)/分娩監視装置!$H$3),0)</f>
        <v>0</v>
      </c>
      <c r="AE71" s="306">
        <f t="shared" si="16"/>
        <v>0</v>
      </c>
      <c r="AF71" s="305">
        <f>IFERROR(SUMIF(新生児モニタ!$C$30:$C$74,B71,新生児モニタ!$K$30:$K$74)*((新生児モニタ!$H$3-新生児モニタ!$I$3)/新生児モニタ!$H$3),0)</f>
        <v>0</v>
      </c>
      <c r="AG71" s="306">
        <f t="shared" si="17"/>
        <v>0</v>
      </c>
    </row>
    <row r="72" spans="2:33">
      <c r="B72" s="283" t="s">
        <v>885</v>
      </c>
      <c r="C72" s="305">
        <f>IFERROR(SUMIF(初度設備!$C$30:$C$74,B72,初度設備!$K$30:$K$74)*((初度設備!$H$3-初度設備!$I$3)/初度設備!$H$3),0)</f>
        <v>0</v>
      </c>
      <c r="D72" s="306">
        <f t="shared" si="2"/>
        <v>0</v>
      </c>
      <c r="E72" s="305">
        <f>IFERROR(SUMIF(人工呼吸器!$C$30:$C$74,B72,人工呼吸器!$K$30:$K$74)*((人工呼吸器!$H$3-人工呼吸器!$I$3)/人工呼吸器!$H$3),0)</f>
        <v>0</v>
      </c>
      <c r="F72" s="306">
        <f t="shared" si="3"/>
        <v>0</v>
      </c>
      <c r="G72" s="306">
        <f t="shared" si="4"/>
        <v>0</v>
      </c>
      <c r="H72" s="306">
        <f t="shared" si="5"/>
        <v>0</v>
      </c>
      <c r="I72" s="305">
        <f>IFERROR(SUMIF(簡易陰圧装置!$C$30:$C$74,B72,簡易陰圧装置!$K$30:$K$74)*((簡易陰圧装置!$H$3-簡易陰圧装置!$I$3)/簡易陰圧装置!$H$3),0)</f>
        <v>0</v>
      </c>
      <c r="J72" s="306">
        <f t="shared" si="6"/>
        <v>0</v>
      </c>
      <c r="K72" s="305">
        <f>IFERROR(SUMIF(簡易ベッド!$C$30:$C$74,B72,簡易ベッド!$K$30:$K$74)*((簡易ベッド!$H$3-簡易ベッド!$I$3)/簡易ベッド!$H$3),0)</f>
        <v>0</v>
      </c>
      <c r="L72" s="306">
        <f t="shared" si="7"/>
        <v>0</v>
      </c>
      <c r="M72" s="305">
        <f>IFERROR(SUMIF(体外式膜型人工肺!$C$30:$C$74,B72,体外式膜型人工肺!$K$30:$K$74)*((体外式膜型人工肺!$H$3-体外式膜型人工肺!$I$3)/体外式膜型人工肺!$H$3),0)</f>
        <v>0</v>
      </c>
      <c r="N72" s="306">
        <f t="shared" si="8"/>
        <v>0</v>
      </c>
      <c r="O72" s="306">
        <f t="shared" si="9"/>
        <v>0</v>
      </c>
      <c r="P72" s="306">
        <f t="shared" si="10"/>
        <v>0</v>
      </c>
      <c r="Q72" s="305">
        <f>IFERROR(SUMIF(紫外線照射装置!$C$30:$C$74,B72,紫外線照射装置!$K$30:$K$74)*((紫外線照射装置!$H$3-紫外線照射装置!$I$3)/紫外線照射装置!$H$3),0)</f>
        <v>0</v>
      </c>
      <c r="R72" s="306">
        <f t="shared" si="11"/>
        <v>0</v>
      </c>
      <c r="S72" s="419">
        <f t="shared" si="12"/>
        <v>0</v>
      </c>
      <c r="T72" s="305">
        <f>IFERROR(SUMIF(超音波画像診断装置!$C$30:$C$74,B72,超音波画像診断装置!$K$30:$K$74)*((超音波画像診断装置!$H$3-超音波画像診断装置!$I$3)/超音波画像診断装置!$H$3),0)</f>
        <v>0</v>
      </c>
      <c r="U72" s="306">
        <f t="shared" si="13"/>
        <v>0</v>
      </c>
      <c r="V72" s="305">
        <f>IFERROR(SUMIF(血液浄化装置!$C$30:$C$74,B72,血液浄化装置!$K$30:$K$74)*((血液浄化装置!$H$3-血液浄化装置!$I$3)/血液浄化装置!$H$3),0)</f>
        <v>0</v>
      </c>
      <c r="W72" s="306">
        <f t="shared" si="14"/>
        <v>0</v>
      </c>
      <c r="X72" s="305">
        <f>IFERROR(SUMIF(気管支鏡!$C$30:$C$74,B72,気管支鏡!$K$30:$K$74)*((気管支鏡!$H$3-気管支鏡!$I$3)/気管支鏡!$H$3),0)</f>
        <v>0</v>
      </c>
      <c r="Y72" s="306">
        <f t="shared" si="0"/>
        <v>0</v>
      </c>
      <c r="Z72" s="305">
        <f>IFERROR(SUMIF(CT撮影装置!$C$30:$C$74,B72,CT撮影装置!$K$30:$K$74)*((CT撮影装置!$H$3-CT撮影装置!$I$3)/CT撮影装置!$H$3),0)</f>
        <v>0</v>
      </c>
      <c r="AA72" s="306">
        <f t="shared" si="15"/>
        <v>0</v>
      </c>
      <c r="AB72" s="305">
        <f>IFERROR(SUMIF(生体情報モニタ!$C$30:$C$74,B72,生体情報モニタ!$K$30:$K$74)*((生体情報モニタ!$H$3-生体情報モニタ!$I$3)/生体情報モニタ!$H$3),0)</f>
        <v>0</v>
      </c>
      <c r="AC72" s="306">
        <f t="shared" si="1"/>
        <v>0</v>
      </c>
      <c r="AD72" s="305">
        <f>IFERROR(SUMIF(分娩監視装置!$C$30:$C$74,B72,分娩監視装置!$K$30:$K$74)*((分娩監視装置!$H$3-分娩監視装置!$I$3)/分娩監視装置!$H$3),0)</f>
        <v>0</v>
      </c>
      <c r="AE72" s="306">
        <f t="shared" si="16"/>
        <v>0</v>
      </c>
      <c r="AF72" s="305">
        <f>IFERROR(SUMIF(新生児モニタ!$C$30:$C$74,B72,新生児モニタ!$K$30:$K$74)*((新生児モニタ!$H$3-新生児モニタ!$I$3)/新生児モニタ!$H$3),0)</f>
        <v>0</v>
      </c>
      <c r="AG72" s="306">
        <f t="shared" si="17"/>
        <v>0</v>
      </c>
    </row>
    <row r="73" spans="2:33">
      <c r="B73" s="283" t="s">
        <v>886</v>
      </c>
      <c r="C73" s="305">
        <f>IFERROR(SUMIF(初度設備!$C$30:$C$74,B73,初度設備!$K$30:$K$74)*((初度設備!$H$3-初度設備!$I$3)/初度設備!$H$3),0)</f>
        <v>0</v>
      </c>
      <c r="D73" s="306">
        <f t="shared" si="2"/>
        <v>0</v>
      </c>
      <c r="E73" s="305">
        <f>IFERROR(SUMIF(人工呼吸器!$C$30:$C$74,B73,人工呼吸器!$K$30:$K$74)*((人工呼吸器!$H$3-人工呼吸器!$I$3)/人工呼吸器!$H$3),0)</f>
        <v>0</v>
      </c>
      <c r="F73" s="306">
        <f t="shared" si="3"/>
        <v>0</v>
      </c>
      <c r="G73" s="306">
        <f t="shared" si="4"/>
        <v>0</v>
      </c>
      <c r="H73" s="306">
        <f t="shared" si="5"/>
        <v>0</v>
      </c>
      <c r="I73" s="305">
        <f>IFERROR(SUMIF(簡易陰圧装置!$C$30:$C$74,B73,簡易陰圧装置!$K$30:$K$74)*((簡易陰圧装置!$H$3-簡易陰圧装置!$I$3)/簡易陰圧装置!$H$3),0)</f>
        <v>0</v>
      </c>
      <c r="J73" s="306">
        <f t="shared" si="6"/>
        <v>0</v>
      </c>
      <c r="K73" s="305">
        <f>IFERROR(SUMIF(簡易ベッド!$C$30:$C$74,B73,簡易ベッド!$K$30:$K$74)*((簡易ベッド!$H$3-簡易ベッド!$I$3)/簡易ベッド!$H$3),0)</f>
        <v>0</v>
      </c>
      <c r="L73" s="306">
        <f t="shared" si="7"/>
        <v>0</v>
      </c>
      <c r="M73" s="305">
        <f>IFERROR(SUMIF(体外式膜型人工肺!$C$30:$C$74,B73,体外式膜型人工肺!$K$30:$K$74)*((体外式膜型人工肺!$H$3-体外式膜型人工肺!$I$3)/体外式膜型人工肺!$H$3),0)</f>
        <v>0</v>
      </c>
      <c r="N73" s="306">
        <f t="shared" si="8"/>
        <v>0</v>
      </c>
      <c r="O73" s="306">
        <f t="shared" si="9"/>
        <v>0</v>
      </c>
      <c r="P73" s="306">
        <f t="shared" si="10"/>
        <v>0</v>
      </c>
      <c r="Q73" s="305">
        <f>IFERROR(SUMIF(紫外線照射装置!$C$30:$C$74,B73,紫外線照射装置!$K$30:$K$74)*((紫外線照射装置!$H$3-紫外線照射装置!$I$3)/紫外線照射装置!$H$3),0)</f>
        <v>0</v>
      </c>
      <c r="R73" s="306">
        <f t="shared" si="11"/>
        <v>0</v>
      </c>
      <c r="S73" s="419">
        <f t="shared" si="12"/>
        <v>0</v>
      </c>
      <c r="T73" s="305">
        <f>IFERROR(SUMIF(超音波画像診断装置!$C$30:$C$74,B73,超音波画像診断装置!$K$30:$K$74)*((超音波画像診断装置!$H$3-超音波画像診断装置!$I$3)/超音波画像診断装置!$H$3),0)</f>
        <v>0</v>
      </c>
      <c r="U73" s="306">
        <f t="shared" si="13"/>
        <v>0</v>
      </c>
      <c r="V73" s="305">
        <f>IFERROR(SUMIF(血液浄化装置!$C$30:$C$74,B73,血液浄化装置!$K$30:$K$74)*((血液浄化装置!$H$3-血液浄化装置!$I$3)/血液浄化装置!$H$3),0)</f>
        <v>0</v>
      </c>
      <c r="W73" s="306">
        <f t="shared" si="14"/>
        <v>0</v>
      </c>
      <c r="X73" s="305">
        <f>IFERROR(SUMIF(気管支鏡!$C$30:$C$74,B73,気管支鏡!$K$30:$K$74)*((気管支鏡!$H$3-気管支鏡!$I$3)/気管支鏡!$H$3),0)</f>
        <v>0</v>
      </c>
      <c r="Y73" s="306">
        <f t="shared" si="0"/>
        <v>0</v>
      </c>
      <c r="Z73" s="305">
        <f>IFERROR(SUMIF(CT撮影装置!$C$30:$C$74,B73,CT撮影装置!$K$30:$K$74)*((CT撮影装置!$H$3-CT撮影装置!$I$3)/CT撮影装置!$H$3),0)</f>
        <v>0</v>
      </c>
      <c r="AA73" s="306">
        <f t="shared" si="15"/>
        <v>0</v>
      </c>
      <c r="AB73" s="305">
        <f>IFERROR(SUMIF(生体情報モニタ!$C$30:$C$74,B73,生体情報モニタ!$K$30:$K$74)*((生体情報モニタ!$H$3-生体情報モニタ!$I$3)/生体情報モニタ!$H$3),0)</f>
        <v>0</v>
      </c>
      <c r="AC73" s="306">
        <f t="shared" si="1"/>
        <v>0</v>
      </c>
      <c r="AD73" s="305">
        <f>IFERROR(SUMIF(分娩監視装置!$C$30:$C$74,B73,分娩監視装置!$K$30:$K$74)*((分娩監視装置!$H$3-分娩監視装置!$I$3)/分娩監視装置!$H$3),0)</f>
        <v>0</v>
      </c>
      <c r="AE73" s="306">
        <f t="shared" si="16"/>
        <v>0</v>
      </c>
      <c r="AF73" s="305">
        <f>IFERROR(SUMIF(新生児モニタ!$C$30:$C$74,B73,新生児モニタ!$K$30:$K$74)*((新生児モニタ!$H$3-新生児モニタ!$I$3)/新生児モニタ!$H$3),0)</f>
        <v>0</v>
      </c>
      <c r="AG73" s="306">
        <f t="shared" si="17"/>
        <v>0</v>
      </c>
    </row>
    <row r="74" spans="2:33">
      <c r="B74" s="283" t="s">
        <v>887</v>
      </c>
      <c r="C74" s="305">
        <f>IFERROR(SUMIF(初度設備!$C$30:$C$74,B74,初度設備!$K$30:$K$74)*((初度設備!$H$3-初度設備!$I$3)/初度設備!$H$3),0)</f>
        <v>0</v>
      </c>
      <c r="D74" s="306">
        <f t="shared" si="2"/>
        <v>0</v>
      </c>
      <c r="E74" s="305">
        <f>IFERROR(SUMIF(人工呼吸器!$C$30:$C$74,B74,人工呼吸器!$K$30:$K$74)*((人工呼吸器!$H$3-人工呼吸器!$I$3)/人工呼吸器!$H$3),0)</f>
        <v>0</v>
      </c>
      <c r="F74" s="306">
        <f t="shared" si="3"/>
        <v>0</v>
      </c>
      <c r="G74" s="306">
        <f t="shared" si="4"/>
        <v>0</v>
      </c>
      <c r="H74" s="306">
        <f t="shared" si="5"/>
        <v>0</v>
      </c>
      <c r="I74" s="305">
        <f>IFERROR(SUMIF(簡易陰圧装置!$C$30:$C$74,B74,簡易陰圧装置!$K$30:$K$74)*((簡易陰圧装置!$H$3-簡易陰圧装置!$I$3)/簡易陰圧装置!$H$3),0)</f>
        <v>0</v>
      </c>
      <c r="J74" s="306">
        <f t="shared" si="6"/>
        <v>0</v>
      </c>
      <c r="K74" s="305">
        <f>IFERROR(SUMIF(簡易ベッド!$C$30:$C$74,B74,簡易ベッド!$K$30:$K$74)*((簡易ベッド!$H$3-簡易ベッド!$I$3)/簡易ベッド!$H$3),0)</f>
        <v>0</v>
      </c>
      <c r="L74" s="306">
        <f t="shared" si="7"/>
        <v>0</v>
      </c>
      <c r="M74" s="305">
        <f>IFERROR(SUMIF(体外式膜型人工肺!$C$30:$C$74,B74,体外式膜型人工肺!$K$30:$K$74)*((体外式膜型人工肺!$H$3-体外式膜型人工肺!$I$3)/体外式膜型人工肺!$H$3),0)</f>
        <v>0</v>
      </c>
      <c r="N74" s="306">
        <f t="shared" si="8"/>
        <v>0</v>
      </c>
      <c r="O74" s="306">
        <f t="shared" si="9"/>
        <v>0</v>
      </c>
      <c r="P74" s="306">
        <f t="shared" si="10"/>
        <v>0</v>
      </c>
      <c r="Q74" s="305">
        <f>IFERROR(SUMIF(紫外線照射装置!$C$30:$C$74,B74,紫外線照射装置!$K$30:$K$74)*((紫外線照射装置!$H$3-紫外線照射装置!$I$3)/紫外線照射装置!$H$3),0)</f>
        <v>0</v>
      </c>
      <c r="R74" s="306">
        <f t="shared" si="11"/>
        <v>0</v>
      </c>
      <c r="S74" s="419">
        <f t="shared" si="12"/>
        <v>0</v>
      </c>
      <c r="T74" s="305">
        <f>IFERROR(SUMIF(超音波画像診断装置!$C$30:$C$74,B74,超音波画像診断装置!$K$30:$K$74)*((超音波画像診断装置!$H$3-超音波画像診断装置!$I$3)/超音波画像診断装置!$H$3),0)</f>
        <v>0</v>
      </c>
      <c r="U74" s="306">
        <f t="shared" si="13"/>
        <v>0</v>
      </c>
      <c r="V74" s="305">
        <f>IFERROR(SUMIF(血液浄化装置!$C$30:$C$74,B74,血液浄化装置!$K$30:$K$74)*((血液浄化装置!$H$3-血液浄化装置!$I$3)/血液浄化装置!$H$3),0)</f>
        <v>0</v>
      </c>
      <c r="W74" s="306">
        <f t="shared" si="14"/>
        <v>0</v>
      </c>
      <c r="X74" s="305">
        <f>IFERROR(SUMIF(気管支鏡!$C$30:$C$74,B74,気管支鏡!$K$30:$K$74)*((気管支鏡!$H$3-気管支鏡!$I$3)/気管支鏡!$H$3),0)</f>
        <v>0</v>
      </c>
      <c r="Y74" s="306">
        <f t="shared" si="0"/>
        <v>0</v>
      </c>
      <c r="Z74" s="305">
        <f>IFERROR(SUMIF(CT撮影装置!$C$30:$C$74,B74,CT撮影装置!$K$30:$K$74)*((CT撮影装置!$H$3-CT撮影装置!$I$3)/CT撮影装置!$H$3),0)</f>
        <v>0</v>
      </c>
      <c r="AA74" s="306">
        <f t="shared" si="15"/>
        <v>0</v>
      </c>
      <c r="AB74" s="305">
        <f>IFERROR(SUMIF(生体情報モニタ!$C$30:$C$74,B74,生体情報モニタ!$K$30:$K$74)*((生体情報モニタ!$H$3-生体情報モニタ!$I$3)/生体情報モニタ!$H$3),0)</f>
        <v>0</v>
      </c>
      <c r="AC74" s="306">
        <f t="shared" si="1"/>
        <v>0</v>
      </c>
      <c r="AD74" s="305">
        <f>IFERROR(SUMIF(分娩監視装置!$C$30:$C$74,B74,分娩監視装置!$K$30:$K$74)*((分娩監視装置!$H$3-分娩監視装置!$I$3)/分娩監視装置!$H$3),0)</f>
        <v>0</v>
      </c>
      <c r="AE74" s="306">
        <f t="shared" si="16"/>
        <v>0</v>
      </c>
      <c r="AF74" s="305">
        <f>IFERROR(SUMIF(新生児モニタ!$C$30:$C$74,B74,新生児モニタ!$K$30:$K$74)*((新生児モニタ!$H$3-新生児モニタ!$I$3)/新生児モニタ!$H$3),0)</f>
        <v>0</v>
      </c>
      <c r="AG74" s="306">
        <f t="shared" si="17"/>
        <v>0</v>
      </c>
    </row>
    <row r="75" spans="2:33">
      <c r="B75" s="283" t="s">
        <v>888</v>
      </c>
      <c r="C75" s="305">
        <f>IFERROR(SUMIF(初度設備!$C$30:$C$74,B75,初度設備!$K$30:$K$74)*((初度設備!$H$3-初度設備!$I$3)/初度設備!$H$3),0)</f>
        <v>0</v>
      </c>
      <c r="D75" s="306">
        <f t="shared" si="2"/>
        <v>0</v>
      </c>
      <c r="E75" s="305">
        <f>IFERROR(SUMIF(人工呼吸器!$C$30:$C$74,B75,人工呼吸器!$K$30:$K$74)*((人工呼吸器!$H$3-人工呼吸器!$I$3)/人工呼吸器!$H$3),0)</f>
        <v>0</v>
      </c>
      <c r="F75" s="306">
        <f t="shared" si="3"/>
        <v>0</v>
      </c>
      <c r="G75" s="306">
        <f t="shared" si="4"/>
        <v>0</v>
      </c>
      <c r="H75" s="306">
        <f t="shared" si="5"/>
        <v>0</v>
      </c>
      <c r="I75" s="305">
        <f>IFERROR(SUMIF(簡易陰圧装置!$C$30:$C$74,B75,簡易陰圧装置!$K$30:$K$74)*((簡易陰圧装置!$H$3-簡易陰圧装置!$I$3)/簡易陰圧装置!$H$3),0)</f>
        <v>0</v>
      </c>
      <c r="J75" s="306">
        <f t="shared" si="6"/>
        <v>0</v>
      </c>
      <c r="K75" s="305">
        <f>IFERROR(SUMIF(簡易ベッド!$C$30:$C$74,B75,簡易ベッド!$K$30:$K$74)*((簡易ベッド!$H$3-簡易ベッド!$I$3)/簡易ベッド!$H$3),0)</f>
        <v>0</v>
      </c>
      <c r="L75" s="306">
        <f t="shared" si="7"/>
        <v>0</v>
      </c>
      <c r="M75" s="305">
        <f>IFERROR(SUMIF(体外式膜型人工肺!$C$30:$C$74,B75,体外式膜型人工肺!$K$30:$K$74)*((体外式膜型人工肺!$H$3-体外式膜型人工肺!$I$3)/体外式膜型人工肺!$H$3),0)</f>
        <v>0</v>
      </c>
      <c r="N75" s="306">
        <f t="shared" si="8"/>
        <v>0</v>
      </c>
      <c r="O75" s="306">
        <f t="shared" si="9"/>
        <v>0</v>
      </c>
      <c r="P75" s="306">
        <f t="shared" si="10"/>
        <v>0</v>
      </c>
      <c r="Q75" s="305">
        <f>IFERROR(SUMIF(紫外線照射装置!$C$30:$C$74,B75,紫外線照射装置!$K$30:$K$74)*((紫外線照射装置!$H$3-紫外線照射装置!$I$3)/紫外線照射装置!$H$3),0)</f>
        <v>0</v>
      </c>
      <c r="R75" s="306">
        <f t="shared" si="11"/>
        <v>0</v>
      </c>
      <c r="S75" s="419">
        <f t="shared" si="12"/>
        <v>0</v>
      </c>
      <c r="T75" s="305">
        <f>IFERROR(SUMIF(超音波画像診断装置!$C$30:$C$74,B75,超音波画像診断装置!$K$30:$K$74)*((超音波画像診断装置!$H$3-超音波画像診断装置!$I$3)/超音波画像診断装置!$H$3),0)</f>
        <v>0</v>
      </c>
      <c r="U75" s="306">
        <f t="shared" si="13"/>
        <v>0</v>
      </c>
      <c r="V75" s="305">
        <f>IFERROR(SUMIF(血液浄化装置!$C$30:$C$74,B75,血液浄化装置!$K$30:$K$74)*((血液浄化装置!$H$3-血液浄化装置!$I$3)/血液浄化装置!$H$3),0)</f>
        <v>0</v>
      </c>
      <c r="W75" s="306">
        <f t="shared" si="14"/>
        <v>0</v>
      </c>
      <c r="X75" s="305">
        <f>IFERROR(SUMIF(気管支鏡!$C$30:$C$74,B75,気管支鏡!$K$30:$K$74)*((気管支鏡!$H$3-気管支鏡!$I$3)/気管支鏡!$H$3),0)</f>
        <v>0</v>
      </c>
      <c r="Y75" s="306">
        <f t="shared" si="0"/>
        <v>0</v>
      </c>
      <c r="Z75" s="305">
        <f>IFERROR(SUMIF(CT撮影装置!$C$30:$C$74,B75,CT撮影装置!$K$30:$K$74)*((CT撮影装置!$H$3-CT撮影装置!$I$3)/CT撮影装置!$H$3),0)</f>
        <v>0</v>
      </c>
      <c r="AA75" s="306">
        <f t="shared" si="15"/>
        <v>0</v>
      </c>
      <c r="AB75" s="305">
        <f>IFERROR(SUMIF(生体情報モニタ!$C$30:$C$74,B75,生体情報モニタ!$K$30:$K$74)*((生体情報モニタ!$H$3-生体情報モニタ!$I$3)/生体情報モニタ!$H$3),0)</f>
        <v>0</v>
      </c>
      <c r="AC75" s="306">
        <f t="shared" si="1"/>
        <v>0</v>
      </c>
      <c r="AD75" s="305">
        <f>IFERROR(SUMIF(分娩監視装置!$C$30:$C$74,B75,分娩監視装置!$K$30:$K$74)*((分娩監視装置!$H$3-分娩監視装置!$I$3)/分娩監視装置!$H$3),0)</f>
        <v>0</v>
      </c>
      <c r="AE75" s="306">
        <f t="shared" si="16"/>
        <v>0</v>
      </c>
      <c r="AF75" s="305">
        <f>IFERROR(SUMIF(新生児モニタ!$C$30:$C$74,B75,新生児モニタ!$K$30:$K$74)*((新生児モニタ!$H$3-新生児モニタ!$I$3)/新生児モニタ!$H$3),0)</f>
        <v>0</v>
      </c>
      <c r="AG75" s="306">
        <f t="shared" si="17"/>
        <v>0</v>
      </c>
    </row>
    <row r="76" spans="2:33">
      <c r="B76" s="283" t="s">
        <v>889</v>
      </c>
      <c r="C76" s="305">
        <f>IFERROR(SUMIF(初度設備!$C$30:$C$74,B76,初度設備!$K$30:$K$74)*((初度設備!$H$3-初度設備!$I$3)/初度設備!$H$3),0)</f>
        <v>0</v>
      </c>
      <c r="D76" s="306">
        <f t="shared" si="2"/>
        <v>0</v>
      </c>
      <c r="E76" s="305">
        <f>IFERROR(SUMIF(人工呼吸器!$C$30:$C$74,B76,人工呼吸器!$K$30:$K$74)*((人工呼吸器!$H$3-人工呼吸器!$I$3)/人工呼吸器!$H$3),0)</f>
        <v>0</v>
      </c>
      <c r="F76" s="306">
        <f t="shared" si="3"/>
        <v>0</v>
      </c>
      <c r="G76" s="306">
        <f t="shared" si="4"/>
        <v>0</v>
      </c>
      <c r="H76" s="306">
        <f t="shared" si="5"/>
        <v>0</v>
      </c>
      <c r="I76" s="305">
        <f>IFERROR(SUMIF(簡易陰圧装置!$C$30:$C$74,B76,簡易陰圧装置!$K$30:$K$74)*((簡易陰圧装置!$H$3-簡易陰圧装置!$I$3)/簡易陰圧装置!$H$3),0)</f>
        <v>0</v>
      </c>
      <c r="J76" s="306">
        <f t="shared" si="6"/>
        <v>0</v>
      </c>
      <c r="K76" s="305">
        <f>IFERROR(SUMIF(簡易ベッド!$C$30:$C$74,B76,簡易ベッド!$K$30:$K$74)*((簡易ベッド!$H$3-簡易ベッド!$I$3)/簡易ベッド!$H$3),0)</f>
        <v>0</v>
      </c>
      <c r="L76" s="306">
        <f t="shared" si="7"/>
        <v>0</v>
      </c>
      <c r="M76" s="305">
        <f>IFERROR(SUMIF(体外式膜型人工肺!$C$30:$C$74,B76,体外式膜型人工肺!$K$30:$K$74)*((体外式膜型人工肺!$H$3-体外式膜型人工肺!$I$3)/体外式膜型人工肺!$H$3),0)</f>
        <v>0</v>
      </c>
      <c r="N76" s="306">
        <f t="shared" si="8"/>
        <v>0</v>
      </c>
      <c r="O76" s="306">
        <f t="shared" si="9"/>
        <v>0</v>
      </c>
      <c r="P76" s="306">
        <f t="shared" si="10"/>
        <v>0</v>
      </c>
      <c r="Q76" s="305">
        <f>IFERROR(SUMIF(紫外線照射装置!$C$30:$C$74,B76,紫外線照射装置!$K$30:$K$74)*((紫外線照射装置!$H$3-紫外線照射装置!$I$3)/紫外線照射装置!$H$3),0)</f>
        <v>0</v>
      </c>
      <c r="R76" s="306">
        <f t="shared" si="11"/>
        <v>0</v>
      </c>
      <c r="S76" s="419">
        <f t="shared" si="12"/>
        <v>0</v>
      </c>
      <c r="T76" s="305">
        <f>IFERROR(SUMIF(超音波画像診断装置!$C$30:$C$74,B76,超音波画像診断装置!$K$30:$K$74)*((超音波画像診断装置!$H$3-超音波画像診断装置!$I$3)/超音波画像診断装置!$H$3),0)</f>
        <v>0</v>
      </c>
      <c r="U76" s="306">
        <f t="shared" si="13"/>
        <v>0</v>
      </c>
      <c r="V76" s="305">
        <f>IFERROR(SUMIF(血液浄化装置!$C$30:$C$74,B76,血液浄化装置!$K$30:$K$74)*((血液浄化装置!$H$3-血液浄化装置!$I$3)/血液浄化装置!$H$3),0)</f>
        <v>0</v>
      </c>
      <c r="W76" s="306">
        <f t="shared" si="14"/>
        <v>0</v>
      </c>
      <c r="X76" s="305">
        <f>IFERROR(SUMIF(気管支鏡!$C$30:$C$74,B76,気管支鏡!$K$30:$K$74)*((気管支鏡!$H$3-気管支鏡!$I$3)/気管支鏡!$H$3),0)</f>
        <v>0</v>
      </c>
      <c r="Y76" s="306">
        <f t="shared" si="0"/>
        <v>0</v>
      </c>
      <c r="Z76" s="305">
        <f>IFERROR(SUMIF(CT撮影装置!$C$30:$C$74,B76,CT撮影装置!$K$30:$K$74)*((CT撮影装置!$H$3-CT撮影装置!$I$3)/CT撮影装置!$H$3),0)</f>
        <v>0</v>
      </c>
      <c r="AA76" s="306">
        <f t="shared" si="15"/>
        <v>0</v>
      </c>
      <c r="AB76" s="305">
        <f>IFERROR(SUMIF(生体情報モニタ!$C$30:$C$74,B76,生体情報モニタ!$K$30:$K$74)*((生体情報モニタ!$H$3-生体情報モニタ!$I$3)/生体情報モニタ!$H$3),0)</f>
        <v>0</v>
      </c>
      <c r="AC76" s="306">
        <f t="shared" si="1"/>
        <v>0</v>
      </c>
      <c r="AD76" s="305">
        <f>IFERROR(SUMIF(分娩監視装置!$C$30:$C$74,B76,分娩監視装置!$K$30:$K$74)*((分娩監視装置!$H$3-分娩監視装置!$I$3)/分娩監視装置!$H$3),0)</f>
        <v>0</v>
      </c>
      <c r="AE76" s="306">
        <f t="shared" si="16"/>
        <v>0</v>
      </c>
      <c r="AF76" s="305">
        <f>IFERROR(SUMIF(新生児モニタ!$C$30:$C$74,B76,新生児モニタ!$K$30:$K$74)*((新生児モニタ!$H$3-新生児モニタ!$I$3)/新生児モニタ!$H$3),0)</f>
        <v>0</v>
      </c>
      <c r="AG76" s="306">
        <f t="shared" si="17"/>
        <v>0</v>
      </c>
    </row>
    <row r="77" spans="2:33">
      <c r="B77" s="283" t="s">
        <v>890</v>
      </c>
      <c r="C77" s="305">
        <f>IFERROR(SUMIF(初度設備!$C$30:$C$74,B77,初度設備!$K$30:$K$74)*((初度設備!$H$3-初度設備!$I$3)/初度設備!$H$3),0)</f>
        <v>0</v>
      </c>
      <c r="D77" s="306">
        <f t="shared" si="2"/>
        <v>0</v>
      </c>
      <c r="E77" s="305">
        <f>IFERROR(SUMIF(人工呼吸器!$C$30:$C$74,B77,人工呼吸器!$K$30:$K$74)*((人工呼吸器!$H$3-人工呼吸器!$I$3)/人工呼吸器!$H$3),0)</f>
        <v>0</v>
      </c>
      <c r="F77" s="306">
        <f t="shared" si="3"/>
        <v>0</v>
      </c>
      <c r="G77" s="306">
        <f t="shared" si="4"/>
        <v>0</v>
      </c>
      <c r="H77" s="306">
        <f t="shared" si="5"/>
        <v>0</v>
      </c>
      <c r="I77" s="305">
        <f>IFERROR(SUMIF(簡易陰圧装置!$C$30:$C$74,B77,簡易陰圧装置!$K$30:$K$74)*((簡易陰圧装置!$H$3-簡易陰圧装置!$I$3)/簡易陰圧装置!$H$3),0)</f>
        <v>0</v>
      </c>
      <c r="J77" s="306">
        <f t="shared" si="6"/>
        <v>0</v>
      </c>
      <c r="K77" s="305">
        <f>IFERROR(SUMIF(簡易ベッド!$C$30:$C$74,B77,簡易ベッド!$K$30:$K$74)*((簡易ベッド!$H$3-簡易ベッド!$I$3)/簡易ベッド!$H$3),0)</f>
        <v>0</v>
      </c>
      <c r="L77" s="306">
        <f t="shared" si="7"/>
        <v>0</v>
      </c>
      <c r="M77" s="305">
        <f>IFERROR(SUMIF(体外式膜型人工肺!$C$30:$C$74,B77,体外式膜型人工肺!$K$30:$K$74)*((体外式膜型人工肺!$H$3-体外式膜型人工肺!$I$3)/体外式膜型人工肺!$H$3),0)</f>
        <v>0</v>
      </c>
      <c r="N77" s="306">
        <f t="shared" si="8"/>
        <v>0</v>
      </c>
      <c r="O77" s="306">
        <f t="shared" si="9"/>
        <v>0</v>
      </c>
      <c r="P77" s="306">
        <f t="shared" si="10"/>
        <v>0</v>
      </c>
      <c r="Q77" s="305">
        <f>IFERROR(SUMIF(紫外線照射装置!$C$30:$C$74,B77,紫外線照射装置!$K$30:$K$74)*((紫外線照射装置!$H$3-紫外線照射装置!$I$3)/紫外線照射装置!$H$3),0)</f>
        <v>0</v>
      </c>
      <c r="R77" s="306">
        <f t="shared" si="11"/>
        <v>0</v>
      </c>
      <c r="S77" s="419">
        <f t="shared" si="12"/>
        <v>0</v>
      </c>
      <c r="T77" s="305">
        <f>IFERROR(SUMIF(超音波画像診断装置!$C$30:$C$74,B77,超音波画像診断装置!$K$30:$K$74)*((超音波画像診断装置!$H$3-超音波画像診断装置!$I$3)/超音波画像診断装置!$H$3),0)</f>
        <v>0</v>
      </c>
      <c r="U77" s="306">
        <f t="shared" si="13"/>
        <v>0</v>
      </c>
      <c r="V77" s="305">
        <f>IFERROR(SUMIF(血液浄化装置!$C$30:$C$74,B77,血液浄化装置!$K$30:$K$74)*((血液浄化装置!$H$3-血液浄化装置!$I$3)/血液浄化装置!$H$3),0)</f>
        <v>0</v>
      </c>
      <c r="W77" s="306">
        <f t="shared" si="14"/>
        <v>0</v>
      </c>
      <c r="X77" s="305">
        <f>IFERROR(SUMIF(気管支鏡!$C$30:$C$74,B77,気管支鏡!$K$30:$K$74)*((気管支鏡!$H$3-気管支鏡!$I$3)/気管支鏡!$H$3),0)</f>
        <v>0</v>
      </c>
      <c r="Y77" s="306">
        <f t="shared" si="0"/>
        <v>0</v>
      </c>
      <c r="Z77" s="305">
        <f>IFERROR(SUMIF(CT撮影装置!$C$30:$C$74,B77,CT撮影装置!$K$30:$K$74)*((CT撮影装置!$H$3-CT撮影装置!$I$3)/CT撮影装置!$H$3),0)</f>
        <v>0</v>
      </c>
      <c r="AA77" s="306">
        <f t="shared" si="15"/>
        <v>0</v>
      </c>
      <c r="AB77" s="305">
        <f>IFERROR(SUMIF(生体情報モニタ!$C$30:$C$74,B77,生体情報モニタ!$K$30:$K$74)*((生体情報モニタ!$H$3-生体情報モニタ!$I$3)/生体情報モニタ!$H$3),0)</f>
        <v>0</v>
      </c>
      <c r="AC77" s="306">
        <f t="shared" si="1"/>
        <v>0</v>
      </c>
      <c r="AD77" s="305">
        <f>IFERROR(SUMIF(分娩監視装置!$C$30:$C$74,B77,分娩監視装置!$K$30:$K$74)*((分娩監視装置!$H$3-分娩監視装置!$I$3)/分娩監視装置!$H$3),0)</f>
        <v>0</v>
      </c>
      <c r="AE77" s="306">
        <f t="shared" si="16"/>
        <v>0</v>
      </c>
      <c r="AF77" s="305">
        <f>IFERROR(SUMIF(新生児モニタ!$C$30:$C$74,B77,新生児モニタ!$K$30:$K$74)*((新生児モニタ!$H$3-新生児モニタ!$I$3)/新生児モニタ!$H$3),0)</f>
        <v>0</v>
      </c>
      <c r="AG77" s="306">
        <f t="shared" si="17"/>
        <v>0</v>
      </c>
    </row>
    <row r="78" spans="2:33">
      <c r="B78" s="283" t="s">
        <v>891</v>
      </c>
      <c r="C78" s="305">
        <f>IFERROR(SUMIF(初度設備!$C$30:$C$74,B78,初度設備!$K$30:$K$74)*((初度設備!$H$3-初度設備!$I$3)/初度設備!$H$3),0)</f>
        <v>0</v>
      </c>
      <c r="D78" s="306">
        <f t="shared" si="2"/>
        <v>0</v>
      </c>
      <c r="E78" s="305">
        <f>IFERROR(SUMIF(人工呼吸器!$C$30:$C$74,B78,人工呼吸器!$K$30:$K$74)*((人工呼吸器!$H$3-人工呼吸器!$I$3)/人工呼吸器!$H$3),0)</f>
        <v>0</v>
      </c>
      <c r="F78" s="306">
        <f t="shared" si="3"/>
        <v>0</v>
      </c>
      <c r="G78" s="306">
        <f t="shared" si="4"/>
        <v>0</v>
      </c>
      <c r="H78" s="306">
        <f t="shared" si="5"/>
        <v>0</v>
      </c>
      <c r="I78" s="305">
        <f>IFERROR(SUMIF(簡易陰圧装置!$C$30:$C$74,B78,簡易陰圧装置!$K$30:$K$74)*((簡易陰圧装置!$H$3-簡易陰圧装置!$I$3)/簡易陰圧装置!$H$3),0)</f>
        <v>0</v>
      </c>
      <c r="J78" s="306">
        <f t="shared" si="6"/>
        <v>0</v>
      </c>
      <c r="K78" s="305">
        <f>IFERROR(SUMIF(簡易ベッド!$C$30:$C$74,B78,簡易ベッド!$K$30:$K$74)*((簡易ベッド!$H$3-簡易ベッド!$I$3)/簡易ベッド!$H$3),0)</f>
        <v>0</v>
      </c>
      <c r="L78" s="306">
        <f t="shared" si="7"/>
        <v>0</v>
      </c>
      <c r="M78" s="305">
        <f>IFERROR(SUMIF(体外式膜型人工肺!$C$30:$C$74,B78,体外式膜型人工肺!$K$30:$K$74)*((体外式膜型人工肺!$H$3-体外式膜型人工肺!$I$3)/体外式膜型人工肺!$H$3),0)</f>
        <v>0</v>
      </c>
      <c r="N78" s="306">
        <f t="shared" si="8"/>
        <v>0</v>
      </c>
      <c r="O78" s="306">
        <f t="shared" si="9"/>
        <v>0</v>
      </c>
      <c r="P78" s="306">
        <f t="shared" si="10"/>
        <v>0</v>
      </c>
      <c r="Q78" s="305">
        <f>IFERROR(SUMIF(紫外線照射装置!$C$30:$C$74,B78,紫外線照射装置!$K$30:$K$74)*((紫外線照射装置!$H$3-紫外線照射装置!$I$3)/紫外線照射装置!$H$3),0)</f>
        <v>0</v>
      </c>
      <c r="R78" s="306">
        <f t="shared" si="11"/>
        <v>0</v>
      </c>
      <c r="S78" s="419">
        <f t="shared" si="12"/>
        <v>0</v>
      </c>
      <c r="T78" s="305">
        <f>IFERROR(SUMIF(超音波画像診断装置!$C$30:$C$74,B78,超音波画像診断装置!$K$30:$K$74)*((超音波画像診断装置!$H$3-超音波画像診断装置!$I$3)/超音波画像診断装置!$H$3),0)</f>
        <v>0</v>
      </c>
      <c r="U78" s="306">
        <f t="shared" si="13"/>
        <v>0</v>
      </c>
      <c r="V78" s="305">
        <f>IFERROR(SUMIF(血液浄化装置!$C$30:$C$74,B78,血液浄化装置!$K$30:$K$74)*((血液浄化装置!$H$3-血液浄化装置!$I$3)/血液浄化装置!$H$3),0)</f>
        <v>0</v>
      </c>
      <c r="W78" s="306">
        <f t="shared" si="14"/>
        <v>0</v>
      </c>
      <c r="X78" s="305">
        <f>IFERROR(SUMIF(気管支鏡!$C$30:$C$74,B78,気管支鏡!$K$30:$K$74)*((気管支鏡!$H$3-気管支鏡!$I$3)/気管支鏡!$H$3),0)</f>
        <v>0</v>
      </c>
      <c r="Y78" s="306">
        <f t="shared" si="0"/>
        <v>0</v>
      </c>
      <c r="Z78" s="305">
        <f>IFERROR(SUMIF(CT撮影装置!$C$30:$C$74,B78,CT撮影装置!$K$30:$K$74)*((CT撮影装置!$H$3-CT撮影装置!$I$3)/CT撮影装置!$H$3),0)</f>
        <v>0</v>
      </c>
      <c r="AA78" s="306">
        <f t="shared" si="15"/>
        <v>0</v>
      </c>
      <c r="AB78" s="305">
        <f>IFERROR(SUMIF(生体情報モニタ!$C$30:$C$74,B78,生体情報モニタ!$K$30:$K$74)*((生体情報モニタ!$H$3-生体情報モニタ!$I$3)/生体情報モニタ!$H$3),0)</f>
        <v>0</v>
      </c>
      <c r="AC78" s="306">
        <f t="shared" si="1"/>
        <v>0</v>
      </c>
      <c r="AD78" s="305">
        <f>IFERROR(SUMIF(分娩監視装置!$C$30:$C$74,B78,分娩監視装置!$K$30:$K$74)*((分娩監視装置!$H$3-分娩監視装置!$I$3)/分娩監視装置!$H$3),0)</f>
        <v>0</v>
      </c>
      <c r="AE78" s="306">
        <f t="shared" si="16"/>
        <v>0</v>
      </c>
      <c r="AF78" s="305">
        <f>IFERROR(SUMIF(新生児モニタ!$C$30:$C$74,B78,新生児モニタ!$K$30:$K$74)*((新生児モニタ!$H$3-新生児モニタ!$I$3)/新生児モニタ!$H$3),0)</f>
        <v>0</v>
      </c>
      <c r="AG78" s="306">
        <f t="shared" si="17"/>
        <v>0</v>
      </c>
    </row>
    <row r="79" spans="2:33">
      <c r="B79" s="283" t="s">
        <v>892</v>
      </c>
      <c r="C79" s="305">
        <f>IFERROR(SUMIF(初度設備!$C$30:$C$74,B79,初度設備!$K$30:$K$74)*((初度設備!$H$3-初度設備!$I$3)/初度設備!$H$3),0)</f>
        <v>0</v>
      </c>
      <c r="D79" s="306">
        <f t="shared" si="2"/>
        <v>0</v>
      </c>
      <c r="E79" s="305">
        <f>IFERROR(SUMIF(人工呼吸器!$C$30:$C$74,B79,人工呼吸器!$K$30:$K$74)*((人工呼吸器!$H$3-人工呼吸器!$I$3)/人工呼吸器!$H$3),0)</f>
        <v>0</v>
      </c>
      <c r="F79" s="306">
        <f t="shared" si="3"/>
        <v>0</v>
      </c>
      <c r="G79" s="306">
        <f t="shared" si="4"/>
        <v>0</v>
      </c>
      <c r="H79" s="306">
        <f t="shared" si="5"/>
        <v>0</v>
      </c>
      <c r="I79" s="305">
        <f>IFERROR(SUMIF(簡易陰圧装置!$C$30:$C$74,B79,簡易陰圧装置!$K$30:$K$74)*((簡易陰圧装置!$H$3-簡易陰圧装置!$I$3)/簡易陰圧装置!$H$3),0)</f>
        <v>0</v>
      </c>
      <c r="J79" s="306">
        <f t="shared" si="6"/>
        <v>0</v>
      </c>
      <c r="K79" s="305">
        <f>IFERROR(SUMIF(簡易ベッド!$C$30:$C$74,B79,簡易ベッド!$K$30:$K$74)*((簡易ベッド!$H$3-簡易ベッド!$I$3)/簡易ベッド!$H$3),0)</f>
        <v>0</v>
      </c>
      <c r="L79" s="306">
        <f t="shared" si="7"/>
        <v>0</v>
      </c>
      <c r="M79" s="305">
        <f>IFERROR(SUMIF(体外式膜型人工肺!$C$30:$C$74,B79,体外式膜型人工肺!$K$30:$K$74)*((体外式膜型人工肺!$H$3-体外式膜型人工肺!$I$3)/体外式膜型人工肺!$H$3),0)</f>
        <v>0</v>
      </c>
      <c r="N79" s="306">
        <f t="shared" si="8"/>
        <v>0</v>
      </c>
      <c r="O79" s="306">
        <f t="shared" si="9"/>
        <v>0</v>
      </c>
      <c r="P79" s="306">
        <f t="shared" si="10"/>
        <v>0</v>
      </c>
      <c r="Q79" s="305">
        <f>IFERROR(SUMIF(紫外線照射装置!$C$30:$C$74,B79,紫外線照射装置!$K$30:$K$74)*((紫外線照射装置!$H$3-紫外線照射装置!$I$3)/紫外線照射装置!$H$3),0)</f>
        <v>0</v>
      </c>
      <c r="R79" s="306">
        <f t="shared" si="11"/>
        <v>0</v>
      </c>
      <c r="S79" s="419">
        <f t="shared" si="12"/>
        <v>0</v>
      </c>
      <c r="T79" s="305">
        <f>IFERROR(SUMIF(超音波画像診断装置!$C$30:$C$74,B79,超音波画像診断装置!$K$30:$K$74)*((超音波画像診断装置!$H$3-超音波画像診断装置!$I$3)/超音波画像診断装置!$H$3),0)</f>
        <v>0</v>
      </c>
      <c r="U79" s="306">
        <f t="shared" si="13"/>
        <v>0</v>
      </c>
      <c r="V79" s="305">
        <f>IFERROR(SUMIF(血液浄化装置!$C$30:$C$74,B79,血液浄化装置!$K$30:$K$74)*((血液浄化装置!$H$3-血液浄化装置!$I$3)/血液浄化装置!$H$3),0)</f>
        <v>0</v>
      </c>
      <c r="W79" s="306">
        <f t="shared" si="14"/>
        <v>0</v>
      </c>
      <c r="X79" s="305">
        <f>IFERROR(SUMIF(気管支鏡!$C$30:$C$74,B79,気管支鏡!$K$30:$K$74)*((気管支鏡!$H$3-気管支鏡!$I$3)/気管支鏡!$H$3),0)</f>
        <v>0</v>
      </c>
      <c r="Y79" s="306">
        <f t="shared" si="0"/>
        <v>0</v>
      </c>
      <c r="Z79" s="305">
        <f>IFERROR(SUMIF(CT撮影装置!$C$30:$C$74,B79,CT撮影装置!$K$30:$K$74)*((CT撮影装置!$H$3-CT撮影装置!$I$3)/CT撮影装置!$H$3),0)</f>
        <v>0</v>
      </c>
      <c r="AA79" s="306">
        <f t="shared" si="15"/>
        <v>0</v>
      </c>
      <c r="AB79" s="305">
        <f>IFERROR(SUMIF(生体情報モニタ!$C$30:$C$74,B79,生体情報モニタ!$K$30:$K$74)*((生体情報モニタ!$H$3-生体情報モニタ!$I$3)/生体情報モニタ!$H$3),0)</f>
        <v>0</v>
      </c>
      <c r="AC79" s="306">
        <f t="shared" si="1"/>
        <v>0</v>
      </c>
      <c r="AD79" s="305">
        <f>IFERROR(SUMIF(分娩監視装置!$C$30:$C$74,B79,分娩監視装置!$K$30:$K$74)*((分娩監視装置!$H$3-分娩監視装置!$I$3)/分娩監視装置!$H$3),0)</f>
        <v>0</v>
      </c>
      <c r="AE79" s="306">
        <f t="shared" si="16"/>
        <v>0</v>
      </c>
      <c r="AF79" s="305">
        <f>IFERROR(SUMIF(新生児モニタ!$C$30:$C$74,B79,新生児モニタ!$K$30:$K$74)*((新生児モニタ!$H$3-新生児モニタ!$I$3)/新生児モニタ!$H$3),0)</f>
        <v>0</v>
      </c>
      <c r="AG79" s="306">
        <f t="shared" si="17"/>
        <v>0</v>
      </c>
    </row>
    <row r="80" spans="2:33">
      <c r="B80" s="283" t="s">
        <v>893</v>
      </c>
      <c r="C80" s="305">
        <f>IFERROR(SUMIF(初度設備!$C$30:$C$74,B80,初度設備!$K$30:$K$74)*((初度設備!$H$3-初度設備!$I$3)/初度設備!$H$3),0)</f>
        <v>0</v>
      </c>
      <c r="D80" s="306">
        <f t="shared" si="2"/>
        <v>0</v>
      </c>
      <c r="E80" s="305">
        <f>IFERROR(SUMIF(人工呼吸器!$C$30:$C$74,B80,人工呼吸器!$K$30:$K$74)*((人工呼吸器!$H$3-人工呼吸器!$I$3)/人工呼吸器!$H$3),0)</f>
        <v>0</v>
      </c>
      <c r="F80" s="306">
        <f t="shared" si="3"/>
        <v>0</v>
      </c>
      <c r="G80" s="306">
        <f t="shared" si="4"/>
        <v>0</v>
      </c>
      <c r="H80" s="306">
        <f t="shared" si="5"/>
        <v>0</v>
      </c>
      <c r="I80" s="305">
        <f>IFERROR(SUMIF(簡易陰圧装置!$C$30:$C$74,B80,簡易陰圧装置!$K$30:$K$74)*((簡易陰圧装置!$H$3-簡易陰圧装置!$I$3)/簡易陰圧装置!$H$3),0)</f>
        <v>0</v>
      </c>
      <c r="J80" s="306">
        <f t="shared" si="6"/>
        <v>0</v>
      </c>
      <c r="K80" s="305">
        <f>IFERROR(SUMIF(簡易ベッド!$C$30:$C$74,B80,簡易ベッド!$K$30:$K$74)*((簡易ベッド!$H$3-簡易ベッド!$I$3)/簡易ベッド!$H$3),0)</f>
        <v>0</v>
      </c>
      <c r="L80" s="306">
        <f t="shared" si="7"/>
        <v>0</v>
      </c>
      <c r="M80" s="305">
        <f>IFERROR(SUMIF(体外式膜型人工肺!$C$30:$C$74,B80,体外式膜型人工肺!$K$30:$K$74)*((体外式膜型人工肺!$H$3-体外式膜型人工肺!$I$3)/体外式膜型人工肺!$H$3),0)</f>
        <v>0</v>
      </c>
      <c r="N80" s="306">
        <f t="shared" si="8"/>
        <v>0</v>
      </c>
      <c r="O80" s="306">
        <f t="shared" si="9"/>
        <v>0</v>
      </c>
      <c r="P80" s="306">
        <f t="shared" si="10"/>
        <v>0</v>
      </c>
      <c r="Q80" s="305">
        <f>IFERROR(SUMIF(紫外線照射装置!$C$30:$C$74,B80,紫外線照射装置!$K$30:$K$74)*((紫外線照射装置!$H$3-紫外線照射装置!$I$3)/紫外線照射装置!$H$3),0)</f>
        <v>0</v>
      </c>
      <c r="R80" s="306">
        <f t="shared" si="11"/>
        <v>0</v>
      </c>
      <c r="S80" s="419">
        <f t="shared" si="12"/>
        <v>0</v>
      </c>
      <c r="T80" s="305">
        <f>IFERROR(SUMIF(超音波画像診断装置!$C$30:$C$74,B80,超音波画像診断装置!$K$30:$K$74)*((超音波画像診断装置!$H$3-超音波画像診断装置!$I$3)/超音波画像診断装置!$H$3),0)</f>
        <v>0</v>
      </c>
      <c r="U80" s="306">
        <f t="shared" si="13"/>
        <v>0</v>
      </c>
      <c r="V80" s="305">
        <f>IFERROR(SUMIF(血液浄化装置!$C$30:$C$74,B80,血液浄化装置!$K$30:$K$74)*((血液浄化装置!$H$3-血液浄化装置!$I$3)/血液浄化装置!$H$3),0)</f>
        <v>0</v>
      </c>
      <c r="W80" s="306">
        <f t="shared" si="14"/>
        <v>0</v>
      </c>
      <c r="X80" s="305">
        <f>IFERROR(SUMIF(気管支鏡!$C$30:$C$74,B80,気管支鏡!$K$30:$K$74)*((気管支鏡!$H$3-気管支鏡!$I$3)/気管支鏡!$H$3),0)</f>
        <v>0</v>
      </c>
      <c r="Y80" s="306">
        <f t="shared" si="0"/>
        <v>0</v>
      </c>
      <c r="Z80" s="305">
        <f>IFERROR(SUMIF(CT撮影装置!$C$30:$C$74,B80,CT撮影装置!$K$30:$K$74)*((CT撮影装置!$H$3-CT撮影装置!$I$3)/CT撮影装置!$H$3),0)</f>
        <v>0</v>
      </c>
      <c r="AA80" s="306">
        <f t="shared" si="15"/>
        <v>0</v>
      </c>
      <c r="AB80" s="305">
        <f>IFERROR(SUMIF(生体情報モニタ!$C$30:$C$74,B80,生体情報モニタ!$K$30:$K$74)*((生体情報モニタ!$H$3-生体情報モニタ!$I$3)/生体情報モニタ!$H$3),0)</f>
        <v>0</v>
      </c>
      <c r="AC80" s="306">
        <f t="shared" si="1"/>
        <v>0</v>
      </c>
      <c r="AD80" s="305">
        <f>IFERROR(SUMIF(分娩監視装置!$C$30:$C$74,B80,分娩監視装置!$K$30:$K$74)*((分娩監視装置!$H$3-分娩監視装置!$I$3)/分娩監視装置!$H$3),0)</f>
        <v>0</v>
      </c>
      <c r="AE80" s="306">
        <f t="shared" si="16"/>
        <v>0</v>
      </c>
      <c r="AF80" s="305">
        <f>IFERROR(SUMIF(新生児モニタ!$C$30:$C$74,B80,新生児モニタ!$K$30:$K$74)*((新生児モニタ!$H$3-新生児モニタ!$I$3)/新生児モニタ!$H$3),0)</f>
        <v>0</v>
      </c>
      <c r="AG80" s="306">
        <f t="shared" si="17"/>
        <v>0</v>
      </c>
    </row>
    <row r="81" spans="2:33">
      <c r="B81" s="283" t="s">
        <v>894</v>
      </c>
      <c r="C81" s="305">
        <f>IFERROR(SUMIF(初度設備!$C$30:$C$74,B81,初度設備!$K$30:$K$74)*((初度設備!$H$3-初度設備!$I$3)/初度設備!$H$3),0)</f>
        <v>0</v>
      </c>
      <c r="D81" s="306">
        <f t="shared" si="2"/>
        <v>0</v>
      </c>
      <c r="E81" s="305">
        <f>IFERROR(SUMIF(人工呼吸器!$C$30:$C$74,B81,人工呼吸器!$K$30:$K$74)*((人工呼吸器!$H$3-人工呼吸器!$I$3)/人工呼吸器!$H$3),0)</f>
        <v>0</v>
      </c>
      <c r="F81" s="306">
        <f t="shared" si="3"/>
        <v>0</v>
      </c>
      <c r="G81" s="306">
        <f t="shared" si="4"/>
        <v>0</v>
      </c>
      <c r="H81" s="306">
        <f t="shared" si="5"/>
        <v>0</v>
      </c>
      <c r="I81" s="305">
        <f>IFERROR(SUMIF(簡易陰圧装置!$C$30:$C$74,B81,簡易陰圧装置!$K$30:$K$74)*((簡易陰圧装置!$H$3-簡易陰圧装置!$I$3)/簡易陰圧装置!$H$3),0)</f>
        <v>0</v>
      </c>
      <c r="J81" s="306">
        <f t="shared" si="6"/>
        <v>0</v>
      </c>
      <c r="K81" s="305">
        <f>IFERROR(SUMIF(簡易ベッド!$C$30:$C$74,B81,簡易ベッド!$K$30:$K$74)*((簡易ベッド!$H$3-簡易ベッド!$I$3)/簡易ベッド!$H$3),0)</f>
        <v>0</v>
      </c>
      <c r="L81" s="306">
        <f t="shared" si="7"/>
        <v>0</v>
      </c>
      <c r="M81" s="305">
        <f>IFERROR(SUMIF(体外式膜型人工肺!$C$30:$C$74,B81,体外式膜型人工肺!$K$30:$K$74)*((体外式膜型人工肺!$H$3-体外式膜型人工肺!$I$3)/体外式膜型人工肺!$H$3),0)</f>
        <v>0</v>
      </c>
      <c r="N81" s="306">
        <f t="shared" si="8"/>
        <v>0</v>
      </c>
      <c r="O81" s="306">
        <f t="shared" si="9"/>
        <v>0</v>
      </c>
      <c r="P81" s="306">
        <f t="shared" si="10"/>
        <v>0</v>
      </c>
      <c r="Q81" s="305">
        <f>IFERROR(SUMIF(紫外線照射装置!$C$30:$C$74,B81,紫外線照射装置!$K$30:$K$74)*((紫外線照射装置!$H$3-紫外線照射装置!$I$3)/紫外線照射装置!$H$3),0)</f>
        <v>0</v>
      </c>
      <c r="R81" s="306">
        <f t="shared" si="11"/>
        <v>0</v>
      </c>
      <c r="S81" s="419">
        <f t="shared" si="12"/>
        <v>0</v>
      </c>
      <c r="T81" s="305">
        <f>IFERROR(SUMIF(超音波画像診断装置!$C$30:$C$74,B81,超音波画像診断装置!$K$30:$K$74)*((超音波画像診断装置!$H$3-超音波画像診断装置!$I$3)/超音波画像診断装置!$H$3),0)</f>
        <v>0</v>
      </c>
      <c r="U81" s="306">
        <f t="shared" si="13"/>
        <v>0</v>
      </c>
      <c r="V81" s="305">
        <f>IFERROR(SUMIF(血液浄化装置!$C$30:$C$74,B81,血液浄化装置!$K$30:$K$74)*((血液浄化装置!$H$3-血液浄化装置!$I$3)/血液浄化装置!$H$3),0)</f>
        <v>0</v>
      </c>
      <c r="W81" s="306">
        <f t="shared" si="14"/>
        <v>0</v>
      </c>
      <c r="X81" s="305">
        <f>IFERROR(SUMIF(気管支鏡!$C$30:$C$74,B81,気管支鏡!$K$30:$K$74)*((気管支鏡!$H$3-気管支鏡!$I$3)/気管支鏡!$H$3),0)</f>
        <v>0</v>
      </c>
      <c r="Y81" s="306">
        <f t="shared" si="0"/>
        <v>0</v>
      </c>
      <c r="Z81" s="305">
        <f>IFERROR(SUMIF(CT撮影装置!$C$30:$C$74,B81,CT撮影装置!$K$30:$K$74)*((CT撮影装置!$H$3-CT撮影装置!$I$3)/CT撮影装置!$H$3),0)</f>
        <v>0</v>
      </c>
      <c r="AA81" s="306">
        <f t="shared" si="15"/>
        <v>0</v>
      </c>
      <c r="AB81" s="305">
        <f>IFERROR(SUMIF(生体情報モニタ!$C$30:$C$74,B81,生体情報モニタ!$K$30:$K$74)*((生体情報モニタ!$H$3-生体情報モニタ!$I$3)/生体情報モニタ!$H$3),0)</f>
        <v>0</v>
      </c>
      <c r="AC81" s="306">
        <f t="shared" si="1"/>
        <v>0</v>
      </c>
      <c r="AD81" s="305">
        <f>IFERROR(SUMIF(分娩監視装置!$C$30:$C$74,B81,分娩監視装置!$K$30:$K$74)*((分娩監視装置!$H$3-分娩監視装置!$I$3)/分娩監視装置!$H$3),0)</f>
        <v>0</v>
      </c>
      <c r="AE81" s="306">
        <f t="shared" si="16"/>
        <v>0</v>
      </c>
      <c r="AF81" s="305">
        <f>IFERROR(SUMIF(新生児モニタ!$C$30:$C$74,B81,新生児モニタ!$K$30:$K$74)*((新生児モニタ!$H$3-新生児モニタ!$I$3)/新生児モニタ!$H$3),0)</f>
        <v>0</v>
      </c>
      <c r="AG81" s="306">
        <f t="shared" si="17"/>
        <v>0</v>
      </c>
    </row>
    <row r="82" spans="2:33">
      <c r="B82" s="283" t="s">
        <v>895</v>
      </c>
      <c r="C82" s="305">
        <f>IFERROR(SUMIF(初度設備!$C$30:$C$74,B82,初度設備!$K$30:$K$74)*((初度設備!$H$3-初度設備!$I$3)/初度設備!$H$3),0)</f>
        <v>0</v>
      </c>
      <c r="D82" s="306">
        <f t="shared" si="2"/>
        <v>0</v>
      </c>
      <c r="E82" s="305">
        <f>IFERROR(SUMIF(人工呼吸器!$C$30:$C$74,B82,人工呼吸器!$K$30:$K$74)*((人工呼吸器!$H$3-人工呼吸器!$I$3)/人工呼吸器!$H$3),0)</f>
        <v>0</v>
      </c>
      <c r="F82" s="306">
        <f t="shared" si="3"/>
        <v>0</v>
      </c>
      <c r="G82" s="306">
        <f t="shared" si="4"/>
        <v>0</v>
      </c>
      <c r="H82" s="306">
        <f t="shared" si="5"/>
        <v>0</v>
      </c>
      <c r="I82" s="305">
        <f>IFERROR(SUMIF(簡易陰圧装置!$C$30:$C$74,B82,簡易陰圧装置!$K$30:$K$74)*((簡易陰圧装置!$H$3-簡易陰圧装置!$I$3)/簡易陰圧装置!$H$3),0)</f>
        <v>0</v>
      </c>
      <c r="J82" s="306">
        <f t="shared" si="6"/>
        <v>0</v>
      </c>
      <c r="K82" s="305">
        <f>IFERROR(SUMIF(簡易ベッド!$C$30:$C$74,B82,簡易ベッド!$K$30:$K$74)*((簡易ベッド!$H$3-簡易ベッド!$I$3)/簡易ベッド!$H$3),0)</f>
        <v>0</v>
      </c>
      <c r="L82" s="306">
        <f t="shared" si="7"/>
        <v>0</v>
      </c>
      <c r="M82" s="305">
        <f>IFERROR(SUMIF(体外式膜型人工肺!$C$30:$C$74,B82,体外式膜型人工肺!$K$30:$K$74)*((体外式膜型人工肺!$H$3-体外式膜型人工肺!$I$3)/体外式膜型人工肺!$H$3),0)</f>
        <v>0</v>
      </c>
      <c r="N82" s="306">
        <f t="shared" si="8"/>
        <v>0</v>
      </c>
      <c r="O82" s="306">
        <f t="shared" si="9"/>
        <v>0</v>
      </c>
      <c r="P82" s="306">
        <f t="shared" si="10"/>
        <v>0</v>
      </c>
      <c r="Q82" s="305">
        <f>IFERROR(SUMIF(紫外線照射装置!$C$30:$C$74,B82,紫外線照射装置!$K$30:$K$74)*((紫外線照射装置!$H$3-紫外線照射装置!$I$3)/紫外線照射装置!$H$3),0)</f>
        <v>0</v>
      </c>
      <c r="R82" s="306">
        <f t="shared" si="11"/>
        <v>0</v>
      </c>
      <c r="S82" s="419">
        <f t="shared" si="12"/>
        <v>0</v>
      </c>
      <c r="T82" s="305">
        <f>IFERROR(SUMIF(超音波画像診断装置!$C$30:$C$74,B82,超音波画像診断装置!$K$30:$K$74)*((超音波画像診断装置!$H$3-超音波画像診断装置!$I$3)/超音波画像診断装置!$H$3),0)</f>
        <v>0</v>
      </c>
      <c r="U82" s="306">
        <f t="shared" si="13"/>
        <v>0</v>
      </c>
      <c r="V82" s="305">
        <f>IFERROR(SUMIF(血液浄化装置!$C$30:$C$74,B82,血液浄化装置!$K$30:$K$74)*((血液浄化装置!$H$3-血液浄化装置!$I$3)/血液浄化装置!$H$3),0)</f>
        <v>0</v>
      </c>
      <c r="W82" s="306">
        <f t="shared" si="14"/>
        <v>0</v>
      </c>
      <c r="X82" s="305">
        <f>IFERROR(SUMIF(気管支鏡!$C$30:$C$74,B82,気管支鏡!$K$30:$K$74)*((気管支鏡!$H$3-気管支鏡!$I$3)/気管支鏡!$H$3),0)</f>
        <v>0</v>
      </c>
      <c r="Y82" s="306">
        <f t="shared" si="0"/>
        <v>0</v>
      </c>
      <c r="Z82" s="305">
        <f>IFERROR(SUMIF(CT撮影装置!$C$30:$C$74,B82,CT撮影装置!$K$30:$K$74)*((CT撮影装置!$H$3-CT撮影装置!$I$3)/CT撮影装置!$H$3),0)</f>
        <v>0</v>
      </c>
      <c r="AA82" s="306">
        <f t="shared" si="15"/>
        <v>0</v>
      </c>
      <c r="AB82" s="305">
        <f>IFERROR(SUMIF(生体情報モニタ!$C$30:$C$74,B82,生体情報モニタ!$K$30:$K$74)*((生体情報モニタ!$H$3-生体情報モニタ!$I$3)/生体情報モニタ!$H$3),0)</f>
        <v>0</v>
      </c>
      <c r="AC82" s="306">
        <f t="shared" si="1"/>
        <v>0</v>
      </c>
      <c r="AD82" s="305">
        <f>IFERROR(SUMIF(分娩監視装置!$C$30:$C$74,B82,分娩監視装置!$K$30:$K$74)*((分娩監視装置!$H$3-分娩監視装置!$I$3)/分娩監視装置!$H$3),0)</f>
        <v>0</v>
      </c>
      <c r="AE82" s="306">
        <f t="shared" si="16"/>
        <v>0</v>
      </c>
      <c r="AF82" s="305">
        <f>IFERROR(SUMIF(新生児モニタ!$C$30:$C$74,B82,新生児モニタ!$K$30:$K$74)*((新生児モニタ!$H$3-新生児モニタ!$I$3)/新生児モニタ!$H$3),0)</f>
        <v>0</v>
      </c>
      <c r="AG82" s="306">
        <f t="shared" si="17"/>
        <v>0</v>
      </c>
    </row>
    <row r="83" spans="2:33">
      <c r="B83" s="283" t="s">
        <v>896</v>
      </c>
      <c r="C83" s="305">
        <f>IFERROR(SUMIF(初度設備!$C$30:$C$74,B83,初度設備!$K$30:$K$74)*((初度設備!$H$3-初度設備!$I$3)/初度設備!$H$3),0)</f>
        <v>0</v>
      </c>
      <c r="D83" s="306">
        <f t="shared" si="2"/>
        <v>0</v>
      </c>
      <c r="E83" s="305">
        <f>IFERROR(SUMIF(人工呼吸器!$C$30:$C$74,B83,人工呼吸器!$K$30:$K$74)*((人工呼吸器!$H$3-人工呼吸器!$I$3)/人工呼吸器!$H$3),0)</f>
        <v>0</v>
      </c>
      <c r="F83" s="306">
        <f t="shared" si="3"/>
        <v>0</v>
      </c>
      <c r="G83" s="306">
        <f t="shared" si="4"/>
        <v>0</v>
      </c>
      <c r="H83" s="306">
        <f t="shared" si="5"/>
        <v>0</v>
      </c>
      <c r="I83" s="305">
        <f>IFERROR(SUMIF(簡易陰圧装置!$C$30:$C$74,B83,簡易陰圧装置!$K$30:$K$74)*((簡易陰圧装置!$H$3-簡易陰圧装置!$I$3)/簡易陰圧装置!$H$3),0)</f>
        <v>0</v>
      </c>
      <c r="J83" s="306">
        <f t="shared" si="6"/>
        <v>0</v>
      </c>
      <c r="K83" s="305">
        <f>IFERROR(SUMIF(簡易ベッド!$C$30:$C$74,B83,簡易ベッド!$K$30:$K$74)*((簡易ベッド!$H$3-簡易ベッド!$I$3)/簡易ベッド!$H$3),0)</f>
        <v>0</v>
      </c>
      <c r="L83" s="306">
        <f t="shared" si="7"/>
        <v>0</v>
      </c>
      <c r="M83" s="305">
        <f>IFERROR(SUMIF(体外式膜型人工肺!$C$30:$C$74,B83,体外式膜型人工肺!$K$30:$K$74)*((体外式膜型人工肺!$H$3-体外式膜型人工肺!$I$3)/体外式膜型人工肺!$H$3),0)</f>
        <v>0</v>
      </c>
      <c r="N83" s="306">
        <f t="shared" si="8"/>
        <v>0</v>
      </c>
      <c r="O83" s="306">
        <f t="shared" si="9"/>
        <v>0</v>
      </c>
      <c r="P83" s="306">
        <f t="shared" si="10"/>
        <v>0</v>
      </c>
      <c r="Q83" s="305">
        <f>IFERROR(SUMIF(紫外線照射装置!$C$30:$C$74,B83,紫外線照射装置!$K$30:$K$74)*((紫外線照射装置!$H$3-紫外線照射装置!$I$3)/紫外線照射装置!$H$3),0)</f>
        <v>0</v>
      </c>
      <c r="R83" s="306">
        <f t="shared" si="11"/>
        <v>0</v>
      </c>
      <c r="S83" s="419">
        <f t="shared" si="12"/>
        <v>0</v>
      </c>
      <c r="T83" s="305">
        <f>IFERROR(SUMIF(超音波画像診断装置!$C$30:$C$74,B83,超音波画像診断装置!$K$30:$K$74)*((超音波画像診断装置!$H$3-超音波画像診断装置!$I$3)/超音波画像診断装置!$H$3),0)</f>
        <v>0</v>
      </c>
      <c r="U83" s="306">
        <f t="shared" si="13"/>
        <v>0</v>
      </c>
      <c r="V83" s="305">
        <f>IFERROR(SUMIF(血液浄化装置!$C$30:$C$74,B83,血液浄化装置!$K$30:$K$74)*((血液浄化装置!$H$3-血液浄化装置!$I$3)/血液浄化装置!$H$3),0)</f>
        <v>0</v>
      </c>
      <c r="W83" s="306">
        <f t="shared" si="14"/>
        <v>0</v>
      </c>
      <c r="X83" s="305">
        <f>IFERROR(SUMIF(気管支鏡!$C$30:$C$74,B83,気管支鏡!$K$30:$K$74)*((気管支鏡!$H$3-気管支鏡!$I$3)/気管支鏡!$H$3),0)</f>
        <v>0</v>
      </c>
      <c r="Y83" s="306">
        <f t="shared" si="0"/>
        <v>0</v>
      </c>
      <c r="Z83" s="305">
        <f>IFERROR(SUMIF(CT撮影装置!$C$30:$C$74,B83,CT撮影装置!$K$30:$K$74)*((CT撮影装置!$H$3-CT撮影装置!$I$3)/CT撮影装置!$H$3),0)</f>
        <v>0</v>
      </c>
      <c r="AA83" s="306">
        <f t="shared" si="15"/>
        <v>0</v>
      </c>
      <c r="AB83" s="305">
        <f>IFERROR(SUMIF(生体情報モニタ!$C$30:$C$74,B83,生体情報モニタ!$K$30:$K$74)*((生体情報モニタ!$H$3-生体情報モニタ!$I$3)/生体情報モニタ!$H$3),0)</f>
        <v>0</v>
      </c>
      <c r="AC83" s="306">
        <f t="shared" si="1"/>
        <v>0</v>
      </c>
      <c r="AD83" s="305">
        <f>IFERROR(SUMIF(分娩監視装置!$C$30:$C$74,B83,分娩監視装置!$K$30:$K$74)*((分娩監視装置!$H$3-分娩監視装置!$I$3)/分娩監視装置!$H$3),0)</f>
        <v>0</v>
      </c>
      <c r="AE83" s="306">
        <f t="shared" si="16"/>
        <v>0</v>
      </c>
      <c r="AF83" s="305">
        <f>IFERROR(SUMIF(新生児モニタ!$C$30:$C$74,B83,新生児モニタ!$K$30:$K$74)*((新生児モニタ!$H$3-新生児モニタ!$I$3)/新生児モニタ!$H$3),0)</f>
        <v>0</v>
      </c>
      <c r="AG83" s="306">
        <f t="shared" si="17"/>
        <v>0</v>
      </c>
    </row>
    <row r="84" spans="2:33">
      <c r="B84" s="283" t="s">
        <v>897</v>
      </c>
      <c r="C84" s="305">
        <f>IFERROR(SUMIF(初度設備!$C$30:$C$74,B84,初度設備!$K$30:$K$74)*((初度設備!$H$3-初度設備!$I$3)/初度設備!$H$3),0)</f>
        <v>0</v>
      </c>
      <c r="D84" s="306">
        <f t="shared" si="2"/>
        <v>0</v>
      </c>
      <c r="E84" s="305">
        <f>IFERROR(SUMIF(人工呼吸器!$C$30:$C$74,B84,人工呼吸器!$K$30:$K$74)*((人工呼吸器!$H$3-人工呼吸器!$I$3)/人工呼吸器!$H$3),0)</f>
        <v>0</v>
      </c>
      <c r="F84" s="306">
        <f t="shared" si="3"/>
        <v>0</v>
      </c>
      <c r="G84" s="306">
        <f t="shared" si="4"/>
        <v>0</v>
      </c>
      <c r="H84" s="306">
        <f t="shared" si="5"/>
        <v>0</v>
      </c>
      <c r="I84" s="305">
        <f>IFERROR(SUMIF(簡易陰圧装置!$C$30:$C$74,B84,簡易陰圧装置!$K$30:$K$74)*((簡易陰圧装置!$H$3-簡易陰圧装置!$I$3)/簡易陰圧装置!$H$3),0)</f>
        <v>0</v>
      </c>
      <c r="J84" s="306">
        <f t="shared" si="6"/>
        <v>0</v>
      </c>
      <c r="K84" s="305">
        <f>IFERROR(SUMIF(簡易ベッド!$C$30:$C$74,B84,簡易ベッド!$K$30:$K$74)*((簡易ベッド!$H$3-簡易ベッド!$I$3)/簡易ベッド!$H$3),0)</f>
        <v>0</v>
      </c>
      <c r="L84" s="306">
        <f t="shared" si="7"/>
        <v>0</v>
      </c>
      <c r="M84" s="305">
        <f>IFERROR(SUMIF(体外式膜型人工肺!$C$30:$C$74,B84,体外式膜型人工肺!$K$30:$K$74)*((体外式膜型人工肺!$H$3-体外式膜型人工肺!$I$3)/体外式膜型人工肺!$H$3),0)</f>
        <v>0</v>
      </c>
      <c r="N84" s="306">
        <f t="shared" si="8"/>
        <v>0</v>
      </c>
      <c r="O84" s="306">
        <f t="shared" si="9"/>
        <v>0</v>
      </c>
      <c r="P84" s="306">
        <f t="shared" si="10"/>
        <v>0</v>
      </c>
      <c r="Q84" s="305">
        <f>IFERROR(SUMIF(紫外線照射装置!$C$30:$C$74,B84,紫外線照射装置!$K$30:$K$74)*((紫外線照射装置!$H$3-紫外線照射装置!$I$3)/紫外線照射装置!$H$3),0)</f>
        <v>0</v>
      </c>
      <c r="R84" s="306">
        <f t="shared" si="11"/>
        <v>0</v>
      </c>
      <c r="S84" s="419">
        <f t="shared" si="12"/>
        <v>0</v>
      </c>
      <c r="T84" s="305">
        <f>IFERROR(SUMIF(超音波画像診断装置!$C$30:$C$74,B84,超音波画像診断装置!$K$30:$K$74)*((超音波画像診断装置!$H$3-超音波画像診断装置!$I$3)/超音波画像診断装置!$H$3),0)</f>
        <v>0</v>
      </c>
      <c r="U84" s="306">
        <f t="shared" si="13"/>
        <v>0</v>
      </c>
      <c r="V84" s="305">
        <f>IFERROR(SUMIF(血液浄化装置!$C$30:$C$74,B84,血液浄化装置!$K$30:$K$74)*((血液浄化装置!$H$3-血液浄化装置!$I$3)/血液浄化装置!$H$3),0)</f>
        <v>0</v>
      </c>
      <c r="W84" s="306">
        <f t="shared" si="14"/>
        <v>0</v>
      </c>
      <c r="X84" s="305">
        <f>IFERROR(SUMIF(気管支鏡!$C$30:$C$74,B84,気管支鏡!$K$30:$K$74)*((気管支鏡!$H$3-気管支鏡!$I$3)/気管支鏡!$H$3),0)</f>
        <v>0</v>
      </c>
      <c r="Y84" s="306">
        <f t="shared" si="0"/>
        <v>0</v>
      </c>
      <c r="Z84" s="305">
        <f>IFERROR(SUMIF(CT撮影装置!$C$30:$C$74,B84,CT撮影装置!$K$30:$K$74)*((CT撮影装置!$H$3-CT撮影装置!$I$3)/CT撮影装置!$H$3),0)</f>
        <v>0</v>
      </c>
      <c r="AA84" s="306">
        <f t="shared" si="15"/>
        <v>0</v>
      </c>
      <c r="AB84" s="305">
        <f>IFERROR(SUMIF(生体情報モニタ!$C$30:$C$74,B84,生体情報モニタ!$K$30:$K$74)*((生体情報モニタ!$H$3-生体情報モニタ!$I$3)/生体情報モニタ!$H$3),0)</f>
        <v>0</v>
      </c>
      <c r="AC84" s="306">
        <f t="shared" si="1"/>
        <v>0</v>
      </c>
      <c r="AD84" s="305">
        <f>IFERROR(SUMIF(分娩監視装置!$C$30:$C$74,B84,分娩監視装置!$K$30:$K$74)*((分娩監視装置!$H$3-分娩監視装置!$I$3)/分娩監視装置!$H$3),0)</f>
        <v>0</v>
      </c>
      <c r="AE84" s="306">
        <f t="shared" si="16"/>
        <v>0</v>
      </c>
      <c r="AF84" s="305">
        <f>IFERROR(SUMIF(新生児モニタ!$C$30:$C$74,B84,新生児モニタ!$K$30:$K$74)*((新生児モニタ!$H$3-新生児モニタ!$I$3)/新生児モニタ!$H$3),0)</f>
        <v>0</v>
      </c>
      <c r="AG84" s="306">
        <f t="shared" si="17"/>
        <v>0</v>
      </c>
    </row>
    <row r="85" spans="2:33">
      <c r="B85" s="283" t="s">
        <v>898</v>
      </c>
      <c r="C85" s="305">
        <f>IFERROR(SUMIF(初度設備!$C$30:$C$74,B85,初度設備!$K$30:$K$74)*((初度設備!$H$3-初度設備!$I$3)/初度設備!$H$3),0)</f>
        <v>0</v>
      </c>
      <c r="D85" s="306">
        <f t="shared" si="2"/>
        <v>0</v>
      </c>
      <c r="E85" s="305">
        <f>IFERROR(SUMIF(人工呼吸器!$C$30:$C$74,B85,人工呼吸器!$K$30:$K$74)*((人工呼吸器!$H$3-人工呼吸器!$I$3)/人工呼吸器!$H$3),0)</f>
        <v>0</v>
      </c>
      <c r="F85" s="306">
        <f t="shared" si="3"/>
        <v>0</v>
      </c>
      <c r="G85" s="306">
        <f t="shared" si="4"/>
        <v>0</v>
      </c>
      <c r="H85" s="306">
        <f t="shared" si="5"/>
        <v>0</v>
      </c>
      <c r="I85" s="305">
        <f>IFERROR(SUMIF(簡易陰圧装置!$C$30:$C$74,B85,簡易陰圧装置!$K$30:$K$74)*((簡易陰圧装置!$H$3-簡易陰圧装置!$I$3)/簡易陰圧装置!$H$3),0)</f>
        <v>0</v>
      </c>
      <c r="J85" s="306">
        <f t="shared" si="6"/>
        <v>0</v>
      </c>
      <c r="K85" s="305">
        <f>IFERROR(SUMIF(簡易ベッド!$C$30:$C$74,B85,簡易ベッド!$K$30:$K$74)*((簡易ベッド!$H$3-簡易ベッド!$I$3)/簡易ベッド!$H$3),0)</f>
        <v>0</v>
      </c>
      <c r="L85" s="306">
        <f t="shared" si="7"/>
        <v>0</v>
      </c>
      <c r="M85" s="305">
        <f>IFERROR(SUMIF(体外式膜型人工肺!$C$30:$C$74,B85,体外式膜型人工肺!$K$30:$K$74)*((体外式膜型人工肺!$H$3-体外式膜型人工肺!$I$3)/体外式膜型人工肺!$H$3),0)</f>
        <v>0</v>
      </c>
      <c r="N85" s="306">
        <f t="shared" si="8"/>
        <v>0</v>
      </c>
      <c r="O85" s="306">
        <f t="shared" si="9"/>
        <v>0</v>
      </c>
      <c r="P85" s="306">
        <f t="shared" si="10"/>
        <v>0</v>
      </c>
      <c r="Q85" s="305">
        <f>IFERROR(SUMIF(紫外線照射装置!$C$30:$C$74,B85,紫外線照射装置!$K$30:$K$74)*((紫外線照射装置!$H$3-紫外線照射装置!$I$3)/紫外線照射装置!$H$3),0)</f>
        <v>0</v>
      </c>
      <c r="R85" s="306">
        <f t="shared" si="11"/>
        <v>0</v>
      </c>
      <c r="S85" s="419">
        <f t="shared" si="12"/>
        <v>0</v>
      </c>
      <c r="T85" s="305">
        <f>IFERROR(SUMIF(超音波画像診断装置!$C$30:$C$74,B85,超音波画像診断装置!$K$30:$K$74)*((超音波画像診断装置!$H$3-超音波画像診断装置!$I$3)/超音波画像診断装置!$H$3),0)</f>
        <v>0</v>
      </c>
      <c r="U85" s="306">
        <f t="shared" si="13"/>
        <v>0</v>
      </c>
      <c r="V85" s="305">
        <f>IFERROR(SUMIF(血液浄化装置!$C$30:$C$74,B85,血液浄化装置!$K$30:$K$74)*((血液浄化装置!$H$3-血液浄化装置!$I$3)/血液浄化装置!$H$3),0)</f>
        <v>0</v>
      </c>
      <c r="W85" s="306">
        <f t="shared" si="14"/>
        <v>0</v>
      </c>
      <c r="X85" s="305">
        <f>IFERROR(SUMIF(気管支鏡!$C$30:$C$74,B85,気管支鏡!$K$30:$K$74)*((気管支鏡!$H$3-気管支鏡!$I$3)/気管支鏡!$H$3),0)</f>
        <v>0</v>
      </c>
      <c r="Y85" s="306">
        <f t="shared" si="0"/>
        <v>0</v>
      </c>
      <c r="Z85" s="305">
        <f>IFERROR(SUMIF(CT撮影装置!$C$30:$C$74,B85,CT撮影装置!$K$30:$K$74)*((CT撮影装置!$H$3-CT撮影装置!$I$3)/CT撮影装置!$H$3),0)</f>
        <v>0</v>
      </c>
      <c r="AA85" s="306">
        <f t="shared" si="15"/>
        <v>0</v>
      </c>
      <c r="AB85" s="305">
        <f>IFERROR(SUMIF(生体情報モニタ!$C$30:$C$74,B85,生体情報モニタ!$K$30:$K$74)*((生体情報モニタ!$H$3-生体情報モニタ!$I$3)/生体情報モニタ!$H$3),0)</f>
        <v>0</v>
      </c>
      <c r="AC85" s="306">
        <f t="shared" si="1"/>
        <v>0</v>
      </c>
      <c r="AD85" s="305">
        <f>IFERROR(SUMIF(分娩監視装置!$C$30:$C$74,B85,分娩監視装置!$K$30:$K$74)*((分娩監視装置!$H$3-分娩監視装置!$I$3)/分娩監視装置!$H$3),0)</f>
        <v>0</v>
      </c>
      <c r="AE85" s="306">
        <f t="shared" si="16"/>
        <v>0</v>
      </c>
      <c r="AF85" s="305">
        <f>IFERROR(SUMIF(新生児モニタ!$C$30:$C$74,B85,新生児モニタ!$K$30:$K$74)*((新生児モニタ!$H$3-新生児モニタ!$I$3)/新生児モニタ!$H$3),0)</f>
        <v>0</v>
      </c>
      <c r="AG85" s="306">
        <f t="shared" si="17"/>
        <v>0</v>
      </c>
    </row>
    <row r="86" spans="2:33">
      <c r="B86" s="283" t="s">
        <v>899</v>
      </c>
      <c r="C86" s="305">
        <f>IFERROR(SUMIF(初度設備!$C$30:$C$74,B86,初度設備!$K$30:$K$74)*((初度設備!$H$3-初度設備!$I$3)/初度設備!$H$3),0)</f>
        <v>0</v>
      </c>
      <c r="D86" s="306">
        <f t="shared" si="2"/>
        <v>0</v>
      </c>
      <c r="E86" s="305">
        <f>IFERROR(SUMIF(人工呼吸器!$C$30:$C$74,B86,人工呼吸器!$K$30:$K$74)*((人工呼吸器!$H$3-人工呼吸器!$I$3)/人工呼吸器!$H$3),0)</f>
        <v>0</v>
      </c>
      <c r="F86" s="306">
        <f t="shared" si="3"/>
        <v>0</v>
      </c>
      <c r="G86" s="306">
        <f t="shared" si="4"/>
        <v>0</v>
      </c>
      <c r="H86" s="306">
        <f t="shared" si="5"/>
        <v>0</v>
      </c>
      <c r="I86" s="305">
        <f>IFERROR(SUMIF(簡易陰圧装置!$C$30:$C$74,B86,簡易陰圧装置!$K$30:$K$74)*((簡易陰圧装置!$H$3-簡易陰圧装置!$I$3)/簡易陰圧装置!$H$3),0)</f>
        <v>0</v>
      </c>
      <c r="J86" s="306">
        <f t="shared" si="6"/>
        <v>0</v>
      </c>
      <c r="K86" s="305">
        <f>IFERROR(SUMIF(簡易ベッド!$C$30:$C$74,B86,簡易ベッド!$K$30:$K$74)*((簡易ベッド!$H$3-簡易ベッド!$I$3)/簡易ベッド!$H$3),0)</f>
        <v>0</v>
      </c>
      <c r="L86" s="306">
        <f t="shared" si="7"/>
        <v>0</v>
      </c>
      <c r="M86" s="305">
        <f>IFERROR(SUMIF(体外式膜型人工肺!$C$30:$C$74,B86,体外式膜型人工肺!$K$30:$K$74)*((体外式膜型人工肺!$H$3-体外式膜型人工肺!$I$3)/体外式膜型人工肺!$H$3),0)</f>
        <v>0</v>
      </c>
      <c r="N86" s="306">
        <f t="shared" si="8"/>
        <v>0</v>
      </c>
      <c r="O86" s="306">
        <f t="shared" si="9"/>
        <v>0</v>
      </c>
      <c r="P86" s="306">
        <f t="shared" si="10"/>
        <v>0</v>
      </c>
      <c r="Q86" s="305">
        <f>IFERROR(SUMIF(紫外線照射装置!$C$30:$C$74,B86,紫外線照射装置!$K$30:$K$74)*((紫外線照射装置!$H$3-紫外線照射装置!$I$3)/紫外線照射装置!$H$3),0)</f>
        <v>0</v>
      </c>
      <c r="R86" s="306">
        <f t="shared" si="11"/>
        <v>0</v>
      </c>
      <c r="S86" s="419">
        <f t="shared" si="12"/>
        <v>0</v>
      </c>
      <c r="T86" s="305">
        <f>IFERROR(SUMIF(超音波画像診断装置!$C$30:$C$74,B86,超音波画像診断装置!$K$30:$K$74)*((超音波画像診断装置!$H$3-超音波画像診断装置!$I$3)/超音波画像診断装置!$H$3),0)</f>
        <v>0</v>
      </c>
      <c r="U86" s="306">
        <f t="shared" si="13"/>
        <v>0</v>
      </c>
      <c r="V86" s="305">
        <f>IFERROR(SUMIF(血液浄化装置!$C$30:$C$74,B86,血液浄化装置!$K$30:$K$74)*((血液浄化装置!$H$3-血液浄化装置!$I$3)/血液浄化装置!$H$3),0)</f>
        <v>0</v>
      </c>
      <c r="W86" s="306">
        <f t="shared" si="14"/>
        <v>0</v>
      </c>
      <c r="X86" s="305">
        <f>IFERROR(SUMIF(気管支鏡!$C$30:$C$74,B86,気管支鏡!$K$30:$K$74)*((気管支鏡!$H$3-気管支鏡!$I$3)/気管支鏡!$H$3),0)</f>
        <v>0</v>
      </c>
      <c r="Y86" s="306">
        <f t="shared" si="0"/>
        <v>0</v>
      </c>
      <c r="Z86" s="305">
        <f>IFERROR(SUMIF(CT撮影装置!$C$30:$C$74,B86,CT撮影装置!$K$30:$K$74)*((CT撮影装置!$H$3-CT撮影装置!$I$3)/CT撮影装置!$H$3),0)</f>
        <v>0</v>
      </c>
      <c r="AA86" s="306">
        <f t="shared" si="15"/>
        <v>0</v>
      </c>
      <c r="AB86" s="305">
        <f>IFERROR(SUMIF(生体情報モニタ!$C$30:$C$74,B86,生体情報モニタ!$K$30:$K$74)*((生体情報モニタ!$H$3-生体情報モニタ!$I$3)/生体情報モニタ!$H$3),0)</f>
        <v>0</v>
      </c>
      <c r="AC86" s="306">
        <f t="shared" si="1"/>
        <v>0</v>
      </c>
      <c r="AD86" s="305">
        <f>IFERROR(SUMIF(分娩監視装置!$C$30:$C$74,B86,分娩監視装置!$K$30:$K$74)*((分娩監視装置!$H$3-分娩監視装置!$I$3)/分娩監視装置!$H$3),0)</f>
        <v>0</v>
      </c>
      <c r="AE86" s="306">
        <f t="shared" si="16"/>
        <v>0</v>
      </c>
      <c r="AF86" s="305">
        <f>IFERROR(SUMIF(新生児モニタ!$C$30:$C$74,B86,新生児モニタ!$K$30:$K$74)*((新生児モニタ!$H$3-新生児モニタ!$I$3)/新生児モニタ!$H$3),0)</f>
        <v>0</v>
      </c>
      <c r="AG86" s="306">
        <f t="shared" si="17"/>
        <v>0</v>
      </c>
    </row>
    <row r="87" spans="2:33">
      <c r="B87" s="283" t="s">
        <v>900</v>
      </c>
      <c r="C87" s="305">
        <f>IFERROR(SUMIF(初度設備!$C$30:$C$74,B87,初度設備!$K$30:$K$74)*((初度設備!$H$3-初度設備!$I$3)/初度設備!$H$3),0)</f>
        <v>0</v>
      </c>
      <c r="D87" s="306">
        <f t="shared" si="2"/>
        <v>0</v>
      </c>
      <c r="E87" s="305">
        <f>IFERROR(SUMIF(人工呼吸器!$C$30:$C$74,B87,人工呼吸器!$K$30:$K$74)*((人工呼吸器!$H$3-人工呼吸器!$I$3)/人工呼吸器!$H$3),0)</f>
        <v>0</v>
      </c>
      <c r="F87" s="306">
        <f t="shared" si="3"/>
        <v>0</v>
      </c>
      <c r="G87" s="306">
        <f t="shared" si="4"/>
        <v>0</v>
      </c>
      <c r="H87" s="306">
        <f t="shared" si="5"/>
        <v>0</v>
      </c>
      <c r="I87" s="305">
        <f>IFERROR(SUMIF(簡易陰圧装置!$C$30:$C$74,B87,簡易陰圧装置!$K$30:$K$74)*((簡易陰圧装置!$H$3-簡易陰圧装置!$I$3)/簡易陰圧装置!$H$3),0)</f>
        <v>0</v>
      </c>
      <c r="J87" s="306">
        <f t="shared" si="6"/>
        <v>0</v>
      </c>
      <c r="K87" s="305">
        <f>IFERROR(SUMIF(簡易ベッド!$C$30:$C$74,B87,簡易ベッド!$K$30:$K$74)*((簡易ベッド!$H$3-簡易ベッド!$I$3)/簡易ベッド!$H$3),0)</f>
        <v>0</v>
      </c>
      <c r="L87" s="306">
        <f t="shared" si="7"/>
        <v>0</v>
      </c>
      <c r="M87" s="305">
        <f>IFERROR(SUMIF(体外式膜型人工肺!$C$30:$C$74,B87,体外式膜型人工肺!$K$30:$K$74)*((体外式膜型人工肺!$H$3-体外式膜型人工肺!$I$3)/体外式膜型人工肺!$H$3),0)</f>
        <v>0</v>
      </c>
      <c r="N87" s="306">
        <f t="shared" si="8"/>
        <v>0</v>
      </c>
      <c r="O87" s="306">
        <f t="shared" si="9"/>
        <v>0</v>
      </c>
      <c r="P87" s="306">
        <f t="shared" si="10"/>
        <v>0</v>
      </c>
      <c r="Q87" s="305">
        <f>IFERROR(SUMIF(紫外線照射装置!$C$30:$C$74,B87,紫外線照射装置!$K$30:$K$74)*((紫外線照射装置!$H$3-紫外線照射装置!$I$3)/紫外線照射装置!$H$3),0)</f>
        <v>0</v>
      </c>
      <c r="R87" s="306">
        <f t="shared" si="11"/>
        <v>0</v>
      </c>
      <c r="S87" s="419">
        <f t="shared" si="12"/>
        <v>0</v>
      </c>
      <c r="T87" s="305">
        <f>IFERROR(SUMIF(超音波画像診断装置!$C$30:$C$74,B87,超音波画像診断装置!$K$30:$K$74)*((超音波画像診断装置!$H$3-超音波画像診断装置!$I$3)/超音波画像診断装置!$H$3),0)</f>
        <v>0</v>
      </c>
      <c r="U87" s="306">
        <f t="shared" si="13"/>
        <v>0</v>
      </c>
      <c r="V87" s="305">
        <f>IFERROR(SUMIF(血液浄化装置!$C$30:$C$74,B87,血液浄化装置!$K$30:$K$74)*((血液浄化装置!$H$3-血液浄化装置!$I$3)/血液浄化装置!$H$3),0)</f>
        <v>0</v>
      </c>
      <c r="W87" s="306">
        <f t="shared" si="14"/>
        <v>0</v>
      </c>
      <c r="X87" s="305">
        <f>IFERROR(SUMIF(気管支鏡!$C$30:$C$74,B87,気管支鏡!$K$30:$K$74)*((気管支鏡!$H$3-気管支鏡!$I$3)/気管支鏡!$H$3),0)</f>
        <v>0</v>
      </c>
      <c r="Y87" s="306">
        <f t="shared" ref="Y87:Y150" si="18">ROUNDDOWN(MIN(X87,$Y$21),-3)</f>
        <v>0</v>
      </c>
      <c r="Z87" s="305">
        <f>IFERROR(SUMIF(CT撮影装置!$C$30:$C$74,B87,CT撮影装置!$K$30:$K$74)*((CT撮影装置!$H$3-CT撮影装置!$I$3)/CT撮影装置!$H$3),0)</f>
        <v>0</v>
      </c>
      <c r="AA87" s="306">
        <f t="shared" si="15"/>
        <v>0</v>
      </c>
      <c r="AB87" s="305">
        <f>IFERROR(SUMIF(生体情報モニタ!$C$30:$C$74,B87,生体情報モニタ!$K$30:$K$74)*((生体情報モニタ!$H$3-生体情報モニタ!$I$3)/生体情報モニタ!$H$3),0)</f>
        <v>0</v>
      </c>
      <c r="AC87" s="306">
        <f t="shared" ref="AC87:AC150" si="19">ROUNDDOWN(MIN(AB87,$AC$21),-3)</f>
        <v>0</v>
      </c>
      <c r="AD87" s="305">
        <f>IFERROR(SUMIF(分娩監視装置!$C$30:$C$74,B87,分娩監視装置!$K$30:$K$74)*((分娩監視装置!$H$3-分娩監視装置!$I$3)/分娩監視装置!$H$3),0)</f>
        <v>0</v>
      </c>
      <c r="AE87" s="306">
        <f t="shared" si="16"/>
        <v>0</v>
      </c>
      <c r="AF87" s="305">
        <f>IFERROR(SUMIF(新生児モニタ!$C$30:$C$74,B87,新生児モニタ!$K$30:$K$74)*((新生児モニタ!$H$3-新生児モニタ!$I$3)/新生児モニタ!$H$3),0)</f>
        <v>0</v>
      </c>
      <c r="AG87" s="306">
        <f t="shared" si="17"/>
        <v>0</v>
      </c>
    </row>
    <row r="88" spans="2:33">
      <c r="B88" s="283" t="s">
        <v>901</v>
      </c>
      <c r="C88" s="305">
        <f>IFERROR(SUMIF(初度設備!$C$30:$C$74,B88,初度設備!$K$30:$K$74)*((初度設備!$H$3-初度設備!$I$3)/初度設備!$H$3),0)</f>
        <v>0</v>
      </c>
      <c r="D88" s="306">
        <f t="shared" ref="D88:D151" si="20">ROUNDDOWN(MIN(C88,$D$21),-3)</f>
        <v>0</v>
      </c>
      <c r="E88" s="305">
        <f>IFERROR(SUMIF(人工呼吸器!$C$30:$C$74,B88,人工呼吸器!$K$30:$K$74)*((人工呼吸器!$H$3-人工呼吸器!$I$3)/人工呼吸器!$H$3),0)</f>
        <v>0</v>
      </c>
      <c r="F88" s="306">
        <f t="shared" ref="F88:F151" si="21">ROUNDDOWN(E88,-3)</f>
        <v>0</v>
      </c>
      <c r="G88" s="306">
        <f t="shared" ref="G88:G151" si="22">IF(F88&gt;=5000000,5000000,F88)</f>
        <v>0</v>
      </c>
      <c r="H88" s="306">
        <f t="shared" ref="H88:H151" si="23">IF(G88=5000000,F88-5000000,0)</f>
        <v>0</v>
      </c>
      <c r="I88" s="305">
        <f>IFERROR(SUMIF(簡易陰圧装置!$C$30:$C$74,B88,簡易陰圧装置!$K$30:$K$74)*((簡易陰圧装置!$H$3-簡易陰圧装置!$I$3)/簡易陰圧装置!$H$3),0)</f>
        <v>0</v>
      </c>
      <c r="J88" s="306">
        <f t="shared" ref="J88:J151" si="24">ROUNDDOWN(MIN(I88,$J$21),-3)</f>
        <v>0</v>
      </c>
      <c r="K88" s="305">
        <f>IFERROR(SUMIF(簡易ベッド!$C$30:$C$74,B88,簡易ベッド!$K$30:$K$74)*((簡易ベッド!$H$3-簡易ベッド!$I$3)/簡易ベッド!$H$3),0)</f>
        <v>0</v>
      </c>
      <c r="L88" s="306">
        <f t="shared" ref="L88:L151" si="25">ROUNDDOWN(MIN(K88,$L$21),-3)</f>
        <v>0</v>
      </c>
      <c r="M88" s="305">
        <f>IFERROR(SUMIF(体外式膜型人工肺!$C$30:$C$74,B88,体外式膜型人工肺!$K$30:$K$74)*((体外式膜型人工肺!$H$3-体外式膜型人工肺!$I$3)/体外式膜型人工肺!$H$3),0)</f>
        <v>0</v>
      </c>
      <c r="N88" s="306">
        <f t="shared" ref="N88:N151" si="26">ROUNDDOWN(M88,-3)</f>
        <v>0</v>
      </c>
      <c r="O88" s="306">
        <f t="shared" ref="O88:O151" si="27">IF(N88&gt;=21000000,21000000,N88)</f>
        <v>0</v>
      </c>
      <c r="P88" s="306">
        <f t="shared" ref="P88:P151" si="28">IF(O88=21000000,N88-21000000,0)</f>
        <v>0</v>
      </c>
      <c r="Q88" s="305">
        <f>IFERROR(SUMIF(紫外線照射装置!$C$30:$C$74,B88,紫外線照射装置!$K$30:$K$74)*((紫外線照射装置!$H$3-紫外線照射装置!$I$3)/紫外線照射装置!$H$3),0)</f>
        <v>0</v>
      </c>
      <c r="R88" s="306">
        <f t="shared" ref="R88:R151" si="29">IFERROR(ROUNDDOWN(MIN(Q88,$R$21)/2,-3),0)</f>
        <v>0</v>
      </c>
      <c r="S88" s="419">
        <f t="shared" ref="S88:S151" si="30">R88</f>
        <v>0</v>
      </c>
      <c r="T88" s="305">
        <f>IFERROR(SUMIF(超音波画像診断装置!$C$30:$C$74,B88,超音波画像診断装置!$K$30:$K$74)*((超音波画像診断装置!$H$3-超音波画像診断装置!$I$3)/超音波画像診断装置!$H$3),0)</f>
        <v>0</v>
      </c>
      <c r="U88" s="306">
        <f t="shared" ref="U88:U151" si="31">ROUNDDOWN(MIN(T88,$U$21),-3)</f>
        <v>0</v>
      </c>
      <c r="V88" s="305">
        <f>IFERROR(SUMIF(血液浄化装置!$C$30:$C$74,B88,血液浄化装置!$K$30:$K$74)*((血液浄化装置!$H$3-血液浄化装置!$I$3)/血液浄化装置!$H$3),0)</f>
        <v>0</v>
      </c>
      <c r="W88" s="306">
        <f t="shared" ref="W88:W151" si="32">ROUNDDOWN(MIN(V88,$W$21),-3)</f>
        <v>0</v>
      </c>
      <c r="X88" s="305">
        <f>IFERROR(SUMIF(気管支鏡!$C$30:$C$74,B88,気管支鏡!$K$30:$K$74)*((気管支鏡!$H$3-気管支鏡!$I$3)/気管支鏡!$H$3),0)</f>
        <v>0</v>
      </c>
      <c r="Y88" s="306">
        <f t="shared" si="18"/>
        <v>0</v>
      </c>
      <c r="Z88" s="305">
        <f>IFERROR(SUMIF(CT撮影装置!$C$30:$C$74,B88,CT撮影装置!$K$30:$K$74)*((CT撮影装置!$H$3-CT撮影装置!$I$3)/CT撮影装置!$H$3),0)</f>
        <v>0</v>
      </c>
      <c r="AA88" s="306">
        <f t="shared" ref="AA88:AA151" si="33">ROUNDDOWN(MIN(Z88,$AA$21),-3)</f>
        <v>0</v>
      </c>
      <c r="AB88" s="305">
        <f>IFERROR(SUMIF(生体情報モニタ!$C$30:$C$74,B88,生体情報モニタ!$K$30:$K$74)*((生体情報モニタ!$H$3-生体情報モニタ!$I$3)/生体情報モニタ!$H$3),0)</f>
        <v>0</v>
      </c>
      <c r="AC88" s="306">
        <f t="shared" si="19"/>
        <v>0</v>
      </c>
      <c r="AD88" s="305">
        <f>IFERROR(SUMIF(分娩監視装置!$C$30:$C$74,B88,分娩監視装置!$K$30:$K$74)*((分娩監視装置!$H$3-分娩監視装置!$I$3)/分娩監視装置!$H$3),0)</f>
        <v>0</v>
      </c>
      <c r="AE88" s="306">
        <f t="shared" ref="AE88:AE151" si="34">ROUNDDOWN(MIN(AD88,$AE$21),-3)</f>
        <v>0</v>
      </c>
      <c r="AF88" s="305">
        <f>IFERROR(SUMIF(新生児モニタ!$C$30:$C$74,B88,新生児モニタ!$K$30:$K$74)*((新生児モニタ!$H$3-新生児モニタ!$I$3)/新生児モニタ!$H$3),0)</f>
        <v>0</v>
      </c>
      <c r="AG88" s="306">
        <f t="shared" ref="AG88:AG151" si="35">ROUNDDOWN(MIN(AF88,$AG$21),-3)</f>
        <v>0</v>
      </c>
    </row>
    <row r="89" spans="2:33">
      <c r="B89" s="283" t="s">
        <v>902</v>
      </c>
      <c r="C89" s="305">
        <f>IFERROR(SUMIF(初度設備!$C$30:$C$74,B89,初度設備!$K$30:$K$74)*((初度設備!$H$3-初度設備!$I$3)/初度設備!$H$3),0)</f>
        <v>0</v>
      </c>
      <c r="D89" s="306">
        <f t="shared" si="20"/>
        <v>0</v>
      </c>
      <c r="E89" s="305">
        <f>IFERROR(SUMIF(人工呼吸器!$C$30:$C$74,B89,人工呼吸器!$K$30:$K$74)*((人工呼吸器!$H$3-人工呼吸器!$I$3)/人工呼吸器!$H$3),0)</f>
        <v>0</v>
      </c>
      <c r="F89" s="306">
        <f t="shared" si="21"/>
        <v>0</v>
      </c>
      <c r="G89" s="306">
        <f t="shared" si="22"/>
        <v>0</v>
      </c>
      <c r="H89" s="306">
        <f t="shared" si="23"/>
        <v>0</v>
      </c>
      <c r="I89" s="305">
        <f>IFERROR(SUMIF(簡易陰圧装置!$C$30:$C$74,B89,簡易陰圧装置!$K$30:$K$74)*((簡易陰圧装置!$H$3-簡易陰圧装置!$I$3)/簡易陰圧装置!$H$3),0)</f>
        <v>0</v>
      </c>
      <c r="J89" s="306">
        <f t="shared" si="24"/>
        <v>0</v>
      </c>
      <c r="K89" s="305">
        <f>IFERROR(SUMIF(簡易ベッド!$C$30:$C$74,B89,簡易ベッド!$K$30:$K$74)*((簡易ベッド!$H$3-簡易ベッド!$I$3)/簡易ベッド!$H$3),0)</f>
        <v>0</v>
      </c>
      <c r="L89" s="306">
        <f t="shared" si="25"/>
        <v>0</v>
      </c>
      <c r="M89" s="305">
        <f>IFERROR(SUMIF(体外式膜型人工肺!$C$30:$C$74,B89,体外式膜型人工肺!$K$30:$K$74)*((体外式膜型人工肺!$H$3-体外式膜型人工肺!$I$3)/体外式膜型人工肺!$H$3),0)</f>
        <v>0</v>
      </c>
      <c r="N89" s="306">
        <f t="shared" si="26"/>
        <v>0</v>
      </c>
      <c r="O89" s="306">
        <f t="shared" si="27"/>
        <v>0</v>
      </c>
      <c r="P89" s="306">
        <f t="shared" si="28"/>
        <v>0</v>
      </c>
      <c r="Q89" s="305">
        <f>IFERROR(SUMIF(紫外線照射装置!$C$30:$C$74,B89,紫外線照射装置!$K$30:$K$74)*((紫外線照射装置!$H$3-紫外線照射装置!$I$3)/紫外線照射装置!$H$3),0)</f>
        <v>0</v>
      </c>
      <c r="R89" s="306">
        <f t="shared" si="29"/>
        <v>0</v>
      </c>
      <c r="S89" s="419">
        <f t="shared" si="30"/>
        <v>0</v>
      </c>
      <c r="T89" s="305">
        <f>IFERROR(SUMIF(超音波画像診断装置!$C$30:$C$74,B89,超音波画像診断装置!$K$30:$K$74)*((超音波画像診断装置!$H$3-超音波画像診断装置!$I$3)/超音波画像診断装置!$H$3),0)</f>
        <v>0</v>
      </c>
      <c r="U89" s="306">
        <f t="shared" si="31"/>
        <v>0</v>
      </c>
      <c r="V89" s="305">
        <f>IFERROR(SUMIF(血液浄化装置!$C$30:$C$74,B89,血液浄化装置!$K$30:$K$74)*((血液浄化装置!$H$3-血液浄化装置!$I$3)/血液浄化装置!$H$3),0)</f>
        <v>0</v>
      </c>
      <c r="W89" s="306">
        <f t="shared" si="32"/>
        <v>0</v>
      </c>
      <c r="X89" s="305">
        <f>IFERROR(SUMIF(気管支鏡!$C$30:$C$74,B89,気管支鏡!$K$30:$K$74)*((気管支鏡!$H$3-気管支鏡!$I$3)/気管支鏡!$H$3),0)</f>
        <v>0</v>
      </c>
      <c r="Y89" s="306">
        <f t="shared" si="18"/>
        <v>0</v>
      </c>
      <c r="Z89" s="305">
        <f>IFERROR(SUMIF(CT撮影装置!$C$30:$C$74,B89,CT撮影装置!$K$30:$K$74)*((CT撮影装置!$H$3-CT撮影装置!$I$3)/CT撮影装置!$H$3),0)</f>
        <v>0</v>
      </c>
      <c r="AA89" s="306">
        <f t="shared" si="33"/>
        <v>0</v>
      </c>
      <c r="AB89" s="305">
        <f>IFERROR(SUMIF(生体情報モニタ!$C$30:$C$74,B89,生体情報モニタ!$K$30:$K$74)*((生体情報モニタ!$H$3-生体情報モニタ!$I$3)/生体情報モニタ!$H$3),0)</f>
        <v>0</v>
      </c>
      <c r="AC89" s="306">
        <f t="shared" si="19"/>
        <v>0</v>
      </c>
      <c r="AD89" s="305">
        <f>IFERROR(SUMIF(分娩監視装置!$C$30:$C$74,B89,分娩監視装置!$K$30:$K$74)*((分娩監視装置!$H$3-分娩監視装置!$I$3)/分娩監視装置!$H$3),0)</f>
        <v>0</v>
      </c>
      <c r="AE89" s="306">
        <f t="shared" si="34"/>
        <v>0</v>
      </c>
      <c r="AF89" s="305">
        <f>IFERROR(SUMIF(新生児モニタ!$C$30:$C$74,B89,新生児モニタ!$K$30:$K$74)*((新生児モニタ!$H$3-新生児モニタ!$I$3)/新生児モニタ!$H$3),0)</f>
        <v>0</v>
      </c>
      <c r="AG89" s="306">
        <f t="shared" si="35"/>
        <v>0</v>
      </c>
    </row>
    <row r="90" spans="2:33">
      <c r="B90" s="283" t="s">
        <v>903</v>
      </c>
      <c r="C90" s="305">
        <f>IFERROR(SUMIF(初度設備!$C$30:$C$74,B90,初度設備!$K$30:$K$74)*((初度設備!$H$3-初度設備!$I$3)/初度設備!$H$3),0)</f>
        <v>0</v>
      </c>
      <c r="D90" s="306">
        <f t="shared" si="20"/>
        <v>0</v>
      </c>
      <c r="E90" s="305">
        <f>IFERROR(SUMIF(人工呼吸器!$C$30:$C$74,B90,人工呼吸器!$K$30:$K$74)*((人工呼吸器!$H$3-人工呼吸器!$I$3)/人工呼吸器!$H$3),0)</f>
        <v>0</v>
      </c>
      <c r="F90" s="306">
        <f t="shared" si="21"/>
        <v>0</v>
      </c>
      <c r="G90" s="306">
        <f t="shared" si="22"/>
        <v>0</v>
      </c>
      <c r="H90" s="306">
        <f t="shared" si="23"/>
        <v>0</v>
      </c>
      <c r="I90" s="305">
        <f>IFERROR(SUMIF(簡易陰圧装置!$C$30:$C$74,B90,簡易陰圧装置!$K$30:$K$74)*((簡易陰圧装置!$H$3-簡易陰圧装置!$I$3)/簡易陰圧装置!$H$3),0)</f>
        <v>0</v>
      </c>
      <c r="J90" s="306">
        <f t="shared" si="24"/>
        <v>0</v>
      </c>
      <c r="K90" s="305">
        <f>IFERROR(SUMIF(簡易ベッド!$C$30:$C$74,B90,簡易ベッド!$K$30:$K$74)*((簡易ベッド!$H$3-簡易ベッド!$I$3)/簡易ベッド!$H$3),0)</f>
        <v>0</v>
      </c>
      <c r="L90" s="306">
        <f t="shared" si="25"/>
        <v>0</v>
      </c>
      <c r="M90" s="305">
        <f>IFERROR(SUMIF(体外式膜型人工肺!$C$30:$C$74,B90,体外式膜型人工肺!$K$30:$K$74)*((体外式膜型人工肺!$H$3-体外式膜型人工肺!$I$3)/体外式膜型人工肺!$H$3),0)</f>
        <v>0</v>
      </c>
      <c r="N90" s="306">
        <f t="shared" si="26"/>
        <v>0</v>
      </c>
      <c r="O90" s="306">
        <f t="shared" si="27"/>
        <v>0</v>
      </c>
      <c r="P90" s="306">
        <f t="shared" si="28"/>
        <v>0</v>
      </c>
      <c r="Q90" s="305">
        <f>IFERROR(SUMIF(紫外線照射装置!$C$30:$C$74,B90,紫外線照射装置!$K$30:$K$74)*((紫外線照射装置!$H$3-紫外線照射装置!$I$3)/紫外線照射装置!$H$3),0)</f>
        <v>0</v>
      </c>
      <c r="R90" s="306">
        <f t="shared" si="29"/>
        <v>0</v>
      </c>
      <c r="S90" s="419">
        <f t="shared" si="30"/>
        <v>0</v>
      </c>
      <c r="T90" s="305">
        <f>IFERROR(SUMIF(超音波画像診断装置!$C$30:$C$74,B90,超音波画像診断装置!$K$30:$K$74)*((超音波画像診断装置!$H$3-超音波画像診断装置!$I$3)/超音波画像診断装置!$H$3),0)</f>
        <v>0</v>
      </c>
      <c r="U90" s="306">
        <f t="shared" si="31"/>
        <v>0</v>
      </c>
      <c r="V90" s="305">
        <f>IFERROR(SUMIF(血液浄化装置!$C$30:$C$74,B90,血液浄化装置!$K$30:$K$74)*((血液浄化装置!$H$3-血液浄化装置!$I$3)/血液浄化装置!$H$3),0)</f>
        <v>0</v>
      </c>
      <c r="W90" s="306">
        <f t="shared" si="32"/>
        <v>0</v>
      </c>
      <c r="X90" s="305">
        <f>IFERROR(SUMIF(気管支鏡!$C$30:$C$74,B90,気管支鏡!$K$30:$K$74)*((気管支鏡!$H$3-気管支鏡!$I$3)/気管支鏡!$H$3),0)</f>
        <v>0</v>
      </c>
      <c r="Y90" s="306">
        <f t="shared" si="18"/>
        <v>0</v>
      </c>
      <c r="Z90" s="305">
        <f>IFERROR(SUMIF(CT撮影装置!$C$30:$C$74,B90,CT撮影装置!$K$30:$K$74)*((CT撮影装置!$H$3-CT撮影装置!$I$3)/CT撮影装置!$H$3),0)</f>
        <v>0</v>
      </c>
      <c r="AA90" s="306">
        <f t="shared" si="33"/>
        <v>0</v>
      </c>
      <c r="AB90" s="305">
        <f>IFERROR(SUMIF(生体情報モニタ!$C$30:$C$74,B90,生体情報モニタ!$K$30:$K$74)*((生体情報モニタ!$H$3-生体情報モニタ!$I$3)/生体情報モニタ!$H$3),0)</f>
        <v>0</v>
      </c>
      <c r="AC90" s="306">
        <f t="shared" si="19"/>
        <v>0</v>
      </c>
      <c r="AD90" s="305">
        <f>IFERROR(SUMIF(分娩監視装置!$C$30:$C$74,B90,分娩監視装置!$K$30:$K$74)*((分娩監視装置!$H$3-分娩監視装置!$I$3)/分娩監視装置!$H$3),0)</f>
        <v>0</v>
      </c>
      <c r="AE90" s="306">
        <f t="shared" si="34"/>
        <v>0</v>
      </c>
      <c r="AF90" s="305">
        <f>IFERROR(SUMIF(新生児モニタ!$C$30:$C$74,B90,新生児モニタ!$K$30:$K$74)*((新生児モニタ!$H$3-新生児モニタ!$I$3)/新生児モニタ!$H$3),0)</f>
        <v>0</v>
      </c>
      <c r="AG90" s="306">
        <f t="shared" si="35"/>
        <v>0</v>
      </c>
    </row>
    <row r="91" spans="2:33">
      <c r="B91" s="283" t="s">
        <v>904</v>
      </c>
      <c r="C91" s="305">
        <f>IFERROR(SUMIF(初度設備!$C$30:$C$74,B91,初度設備!$K$30:$K$74)*((初度設備!$H$3-初度設備!$I$3)/初度設備!$H$3),0)</f>
        <v>0</v>
      </c>
      <c r="D91" s="306">
        <f t="shared" si="20"/>
        <v>0</v>
      </c>
      <c r="E91" s="305">
        <f>IFERROR(SUMIF(人工呼吸器!$C$30:$C$74,B91,人工呼吸器!$K$30:$K$74)*((人工呼吸器!$H$3-人工呼吸器!$I$3)/人工呼吸器!$H$3),0)</f>
        <v>0</v>
      </c>
      <c r="F91" s="306">
        <f t="shared" si="21"/>
        <v>0</v>
      </c>
      <c r="G91" s="306">
        <f t="shared" si="22"/>
        <v>0</v>
      </c>
      <c r="H91" s="306">
        <f t="shared" si="23"/>
        <v>0</v>
      </c>
      <c r="I91" s="305">
        <f>IFERROR(SUMIF(簡易陰圧装置!$C$30:$C$74,B91,簡易陰圧装置!$K$30:$K$74)*((簡易陰圧装置!$H$3-簡易陰圧装置!$I$3)/簡易陰圧装置!$H$3),0)</f>
        <v>0</v>
      </c>
      <c r="J91" s="306">
        <f t="shared" si="24"/>
        <v>0</v>
      </c>
      <c r="K91" s="305">
        <f>IFERROR(SUMIF(簡易ベッド!$C$30:$C$74,B91,簡易ベッド!$K$30:$K$74)*((簡易ベッド!$H$3-簡易ベッド!$I$3)/簡易ベッド!$H$3),0)</f>
        <v>0</v>
      </c>
      <c r="L91" s="306">
        <f t="shared" si="25"/>
        <v>0</v>
      </c>
      <c r="M91" s="305">
        <f>IFERROR(SUMIF(体外式膜型人工肺!$C$30:$C$74,B91,体外式膜型人工肺!$K$30:$K$74)*((体外式膜型人工肺!$H$3-体外式膜型人工肺!$I$3)/体外式膜型人工肺!$H$3),0)</f>
        <v>0</v>
      </c>
      <c r="N91" s="306">
        <f t="shared" si="26"/>
        <v>0</v>
      </c>
      <c r="O91" s="306">
        <f t="shared" si="27"/>
        <v>0</v>
      </c>
      <c r="P91" s="306">
        <f t="shared" si="28"/>
        <v>0</v>
      </c>
      <c r="Q91" s="305">
        <f>IFERROR(SUMIF(紫外線照射装置!$C$30:$C$74,B91,紫外線照射装置!$K$30:$K$74)*((紫外線照射装置!$H$3-紫外線照射装置!$I$3)/紫外線照射装置!$H$3),0)</f>
        <v>0</v>
      </c>
      <c r="R91" s="306">
        <f t="shared" si="29"/>
        <v>0</v>
      </c>
      <c r="S91" s="419">
        <f t="shared" si="30"/>
        <v>0</v>
      </c>
      <c r="T91" s="305">
        <f>IFERROR(SUMIF(超音波画像診断装置!$C$30:$C$74,B91,超音波画像診断装置!$K$30:$K$74)*((超音波画像診断装置!$H$3-超音波画像診断装置!$I$3)/超音波画像診断装置!$H$3),0)</f>
        <v>0</v>
      </c>
      <c r="U91" s="306">
        <f t="shared" si="31"/>
        <v>0</v>
      </c>
      <c r="V91" s="305">
        <f>IFERROR(SUMIF(血液浄化装置!$C$30:$C$74,B91,血液浄化装置!$K$30:$K$74)*((血液浄化装置!$H$3-血液浄化装置!$I$3)/血液浄化装置!$H$3),0)</f>
        <v>0</v>
      </c>
      <c r="W91" s="306">
        <f t="shared" si="32"/>
        <v>0</v>
      </c>
      <c r="X91" s="305">
        <f>IFERROR(SUMIF(気管支鏡!$C$30:$C$74,B91,気管支鏡!$K$30:$K$74)*((気管支鏡!$H$3-気管支鏡!$I$3)/気管支鏡!$H$3),0)</f>
        <v>0</v>
      </c>
      <c r="Y91" s="306">
        <f t="shared" si="18"/>
        <v>0</v>
      </c>
      <c r="Z91" s="305">
        <f>IFERROR(SUMIF(CT撮影装置!$C$30:$C$74,B91,CT撮影装置!$K$30:$K$74)*((CT撮影装置!$H$3-CT撮影装置!$I$3)/CT撮影装置!$H$3),0)</f>
        <v>0</v>
      </c>
      <c r="AA91" s="306">
        <f t="shared" si="33"/>
        <v>0</v>
      </c>
      <c r="AB91" s="305">
        <f>IFERROR(SUMIF(生体情報モニタ!$C$30:$C$74,B91,生体情報モニタ!$K$30:$K$74)*((生体情報モニタ!$H$3-生体情報モニタ!$I$3)/生体情報モニタ!$H$3),0)</f>
        <v>0</v>
      </c>
      <c r="AC91" s="306">
        <f t="shared" si="19"/>
        <v>0</v>
      </c>
      <c r="AD91" s="305">
        <f>IFERROR(SUMIF(分娩監視装置!$C$30:$C$74,B91,分娩監視装置!$K$30:$K$74)*((分娩監視装置!$H$3-分娩監視装置!$I$3)/分娩監視装置!$H$3),0)</f>
        <v>0</v>
      </c>
      <c r="AE91" s="306">
        <f t="shared" si="34"/>
        <v>0</v>
      </c>
      <c r="AF91" s="305">
        <f>IFERROR(SUMIF(新生児モニタ!$C$30:$C$74,B91,新生児モニタ!$K$30:$K$74)*((新生児モニタ!$H$3-新生児モニタ!$I$3)/新生児モニタ!$H$3),0)</f>
        <v>0</v>
      </c>
      <c r="AG91" s="306">
        <f t="shared" si="35"/>
        <v>0</v>
      </c>
    </row>
    <row r="92" spans="2:33">
      <c r="B92" s="283" t="s">
        <v>905</v>
      </c>
      <c r="C92" s="305">
        <f>IFERROR(SUMIF(初度設備!$C$30:$C$74,B92,初度設備!$K$30:$K$74)*((初度設備!$H$3-初度設備!$I$3)/初度設備!$H$3),0)</f>
        <v>0</v>
      </c>
      <c r="D92" s="306">
        <f t="shared" si="20"/>
        <v>0</v>
      </c>
      <c r="E92" s="305">
        <f>IFERROR(SUMIF(人工呼吸器!$C$30:$C$74,B92,人工呼吸器!$K$30:$K$74)*((人工呼吸器!$H$3-人工呼吸器!$I$3)/人工呼吸器!$H$3),0)</f>
        <v>0</v>
      </c>
      <c r="F92" s="306">
        <f t="shared" si="21"/>
        <v>0</v>
      </c>
      <c r="G92" s="306">
        <f t="shared" si="22"/>
        <v>0</v>
      </c>
      <c r="H92" s="306">
        <f t="shared" si="23"/>
        <v>0</v>
      </c>
      <c r="I92" s="305">
        <f>IFERROR(SUMIF(簡易陰圧装置!$C$30:$C$74,B92,簡易陰圧装置!$K$30:$K$74)*((簡易陰圧装置!$H$3-簡易陰圧装置!$I$3)/簡易陰圧装置!$H$3),0)</f>
        <v>0</v>
      </c>
      <c r="J92" s="306">
        <f t="shared" si="24"/>
        <v>0</v>
      </c>
      <c r="K92" s="305">
        <f>IFERROR(SUMIF(簡易ベッド!$C$30:$C$74,B92,簡易ベッド!$K$30:$K$74)*((簡易ベッド!$H$3-簡易ベッド!$I$3)/簡易ベッド!$H$3),0)</f>
        <v>0</v>
      </c>
      <c r="L92" s="306">
        <f t="shared" si="25"/>
        <v>0</v>
      </c>
      <c r="M92" s="305">
        <f>IFERROR(SUMIF(体外式膜型人工肺!$C$30:$C$74,B92,体外式膜型人工肺!$K$30:$K$74)*((体外式膜型人工肺!$H$3-体外式膜型人工肺!$I$3)/体外式膜型人工肺!$H$3),0)</f>
        <v>0</v>
      </c>
      <c r="N92" s="306">
        <f t="shared" si="26"/>
        <v>0</v>
      </c>
      <c r="O92" s="306">
        <f t="shared" si="27"/>
        <v>0</v>
      </c>
      <c r="P92" s="306">
        <f t="shared" si="28"/>
        <v>0</v>
      </c>
      <c r="Q92" s="305">
        <f>IFERROR(SUMIF(紫外線照射装置!$C$30:$C$74,B92,紫外線照射装置!$K$30:$K$74)*((紫外線照射装置!$H$3-紫外線照射装置!$I$3)/紫外線照射装置!$H$3),0)</f>
        <v>0</v>
      </c>
      <c r="R92" s="306">
        <f t="shared" si="29"/>
        <v>0</v>
      </c>
      <c r="S92" s="419">
        <f t="shared" si="30"/>
        <v>0</v>
      </c>
      <c r="T92" s="305">
        <f>IFERROR(SUMIF(超音波画像診断装置!$C$30:$C$74,B92,超音波画像診断装置!$K$30:$K$74)*((超音波画像診断装置!$H$3-超音波画像診断装置!$I$3)/超音波画像診断装置!$H$3),0)</f>
        <v>0</v>
      </c>
      <c r="U92" s="306">
        <f t="shared" si="31"/>
        <v>0</v>
      </c>
      <c r="V92" s="305">
        <f>IFERROR(SUMIF(血液浄化装置!$C$30:$C$74,B92,血液浄化装置!$K$30:$K$74)*((血液浄化装置!$H$3-血液浄化装置!$I$3)/血液浄化装置!$H$3),0)</f>
        <v>0</v>
      </c>
      <c r="W92" s="306">
        <f t="shared" si="32"/>
        <v>0</v>
      </c>
      <c r="X92" s="305">
        <f>IFERROR(SUMIF(気管支鏡!$C$30:$C$74,B92,気管支鏡!$K$30:$K$74)*((気管支鏡!$H$3-気管支鏡!$I$3)/気管支鏡!$H$3),0)</f>
        <v>0</v>
      </c>
      <c r="Y92" s="306">
        <f t="shared" si="18"/>
        <v>0</v>
      </c>
      <c r="Z92" s="305">
        <f>IFERROR(SUMIF(CT撮影装置!$C$30:$C$74,B92,CT撮影装置!$K$30:$K$74)*((CT撮影装置!$H$3-CT撮影装置!$I$3)/CT撮影装置!$H$3),0)</f>
        <v>0</v>
      </c>
      <c r="AA92" s="306">
        <f t="shared" si="33"/>
        <v>0</v>
      </c>
      <c r="AB92" s="305">
        <f>IFERROR(SUMIF(生体情報モニタ!$C$30:$C$74,B92,生体情報モニタ!$K$30:$K$74)*((生体情報モニタ!$H$3-生体情報モニタ!$I$3)/生体情報モニタ!$H$3),0)</f>
        <v>0</v>
      </c>
      <c r="AC92" s="306">
        <f t="shared" si="19"/>
        <v>0</v>
      </c>
      <c r="AD92" s="305">
        <f>IFERROR(SUMIF(分娩監視装置!$C$30:$C$74,B92,分娩監視装置!$K$30:$K$74)*((分娩監視装置!$H$3-分娩監視装置!$I$3)/分娩監視装置!$H$3),0)</f>
        <v>0</v>
      </c>
      <c r="AE92" s="306">
        <f t="shared" si="34"/>
        <v>0</v>
      </c>
      <c r="AF92" s="305">
        <f>IFERROR(SUMIF(新生児モニタ!$C$30:$C$74,B92,新生児モニタ!$K$30:$K$74)*((新生児モニタ!$H$3-新生児モニタ!$I$3)/新生児モニタ!$H$3),0)</f>
        <v>0</v>
      </c>
      <c r="AG92" s="306">
        <f t="shared" si="35"/>
        <v>0</v>
      </c>
    </row>
    <row r="93" spans="2:33">
      <c r="B93" s="283" t="s">
        <v>906</v>
      </c>
      <c r="C93" s="305">
        <f>IFERROR(SUMIF(初度設備!$C$30:$C$74,B93,初度設備!$K$30:$K$74)*((初度設備!$H$3-初度設備!$I$3)/初度設備!$H$3),0)</f>
        <v>0</v>
      </c>
      <c r="D93" s="306">
        <f t="shared" si="20"/>
        <v>0</v>
      </c>
      <c r="E93" s="305">
        <f>IFERROR(SUMIF(人工呼吸器!$C$30:$C$74,B93,人工呼吸器!$K$30:$K$74)*((人工呼吸器!$H$3-人工呼吸器!$I$3)/人工呼吸器!$H$3),0)</f>
        <v>0</v>
      </c>
      <c r="F93" s="306">
        <f t="shared" si="21"/>
        <v>0</v>
      </c>
      <c r="G93" s="306">
        <f t="shared" si="22"/>
        <v>0</v>
      </c>
      <c r="H93" s="306">
        <f t="shared" si="23"/>
        <v>0</v>
      </c>
      <c r="I93" s="305">
        <f>IFERROR(SUMIF(簡易陰圧装置!$C$30:$C$74,B93,簡易陰圧装置!$K$30:$K$74)*((簡易陰圧装置!$H$3-簡易陰圧装置!$I$3)/簡易陰圧装置!$H$3),0)</f>
        <v>0</v>
      </c>
      <c r="J93" s="306">
        <f t="shared" si="24"/>
        <v>0</v>
      </c>
      <c r="K93" s="305">
        <f>IFERROR(SUMIF(簡易ベッド!$C$30:$C$74,B93,簡易ベッド!$K$30:$K$74)*((簡易ベッド!$H$3-簡易ベッド!$I$3)/簡易ベッド!$H$3),0)</f>
        <v>0</v>
      </c>
      <c r="L93" s="306">
        <f t="shared" si="25"/>
        <v>0</v>
      </c>
      <c r="M93" s="305">
        <f>IFERROR(SUMIF(体外式膜型人工肺!$C$30:$C$74,B93,体外式膜型人工肺!$K$30:$K$74)*((体外式膜型人工肺!$H$3-体外式膜型人工肺!$I$3)/体外式膜型人工肺!$H$3),0)</f>
        <v>0</v>
      </c>
      <c r="N93" s="306">
        <f t="shared" si="26"/>
        <v>0</v>
      </c>
      <c r="O93" s="306">
        <f t="shared" si="27"/>
        <v>0</v>
      </c>
      <c r="P93" s="306">
        <f t="shared" si="28"/>
        <v>0</v>
      </c>
      <c r="Q93" s="305">
        <f>IFERROR(SUMIF(紫外線照射装置!$C$30:$C$74,B93,紫外線照射装置!$K$30:$K$74)*((紫外線照射装置!$H$3-紫外線照射装置!$I$3)/紫外線照射装置!$H$3),0)</f>
        <v>0</v>
      </c>
      <c r="R93" s="306">
        <f t="shared" si="29"/>
        <v>0</v>
      </c>
      <c r="S93" s="419">
        <f t="shared" si="30"/>
        <v>0</v>
      </c>
      <c r="T93" s="305">
        <f>IFERROR(SUMIF(超音波画像診断装置!$C$30:$C$74,B93,超音波画像診断装置!$K$30:$K$74)*((超音波画像診断装置!$H$3-超音波画像診断装置!$I$3)/超音波画像診断装置!$H$3),0)</f>
        <v>0</v>
      </c>
      <c r="U93" s="306">
        <f t="shared" si="31"/>
        <v>0</v>
      </c>
      <c r="V93" s="305">
        <f>IFERROR(SUMIF(血液浄化装置!$C$30:$C$74,B93,血液浄化装置!$K$30:$K$74)*((血液浄化装置!$H$3-血液浄化装置!$I$3)/血液浄化装置!$H$3),0)</f>
        <v>0</v>
      </c>
      <c r="W93" s="306">
        <f t="shared" si="32"/>
        <v>0</v>
      </c>
      <c r="X93" s="305">
        <f>IFERROR(SUMIF(気管支鏡!$C$30:$C$74,B93,気管支鏡!$K$30:$K$74)*((気管支鏡!$H$3-気管支鏡!$I$3)/気管支鏡!$H$3),0)</f>
        <v>0</v>
      </c>
      <c r="Y93" s="306">
        <f t="shared" si="18"/>
        <v>0</v>
      </c>
      <c r="Z93" s="305">
        <f>IFERROR(SUMIF(CT撮影装置!$C$30:$C$74,B93,CT撮影装置!$K$30:$K$74)*((CT撮影装置!$H$3-CT撮影装置!$I$3)/CT撮影装置!$H$3),0)</f>
        <v>0</v>
      </c>
      <c r="AA93" s="306">
        <f t="shared" si="33"/>
        <v>0</v>
      </c>
      <c r="AB93" s="305">
        <f>IFERROR(SUMIF(生体情報モニタ!$C$30:$C$74,B93,生体情報モニタ!$K$30:$K$74)*((生体情報モニタ!$H$3-生体情報モニタ!$I$3)/生体情報モニタ!$H$3),0)</f>
        <v>0</v>
      </c>
      <c r="AC93" s="306">
        <f t="shared" si="19"/>
        <v>0</v>
      </c>
      <c r="AD93" s="305">
        <f>IFERROR(SUMIF(分娩監視装置!$C$30:$C$74,B93,分娩監視装置!$K$30:$K$74)*((分娩監視装置!$H$3-分娩監視装置!$I$3)/分娩監視装置!$H$3),0)</f>
        <v>0</v>
      </c>
      <c r="AE93" s="306">
        <f t="shared" si="34"/>
        <v>0</v>
      </c>
      <c r="AF93" s="305">
        <f>IFERROR(SUMIF(新生児モニタ!$C$30:$C$74,B93,新生児モニタ!$K$30:$K$74)*((新生児モニタ!$H$3-新生児モニタ!$I$3)/新生児モニタ!$H$3),0)</f>
        <v>0</v>
      </c>
      <c r="AG93" s="306">
        <f t="shared" si="35"/>
        <v>0</v>
      </c>
    </row>
    <row r="94" spans="2:33">
      <c r="B94" s="283" t="s">
        <v>907</v>
      </c>
      <c r="C94" s="305">
        <f>IFERROR(SUMIF(初度設備!$C$30:$C$74,B94,初度設備!$K$30:$K$74)*((初度設備!$H$3-初度設備!$I$3)/初度設備!$H$3),0)</f>
        <v>0</v>
      </c>
      <c r="D94" s="306">
        <f t="shared" si="20"/>
        <v>0</v>
      </c>
      <c r="E94" s="305">
        <f>IFERROR(SUMIF(人工呼吸器!$C$30:$C$74,B94,人工呼吸器!$K$30:$K$74)*((人工呼吸器!$H$3-人工呼吸器!$I$3)/人工呼吸器!$H$3),0)</f>
        <v>0</v>
      </c>
      <c r="F94" s="306">
        <f t="shared" si="21"/>
        <v>0</v>
      </c>
      <c r="G94" s="306">
        <f t="shared" si="22"/>
        <v>0</v>
      </c>
      <c r="H94" s="306">
        <f t="shared" si="23"/>
        <v>0</v>
      </c>
      <c r="I94" s="305">
        <f>IFERROR(SUMIF(簡易陰圧装置!$C$30:$C$74,B94,簡易陰圧装置!$K$30:$K$74)*((簡易陰圧装置!$H$3-簡易陰圧装置!$I$3)/簡易陰圧装置!$H$3),0)</f>
        <v>0</v>
      </c>
      <c r="J94" s="306">
        <f t="shared" si="24"/>
        <v>0</v>
      </c>
      <c r="K94" s="305">
        <f>IFERROR(SUMIF(簡易ベッド!$C$30:$C$74,B94,簡易ベッド!$K$30:$K$74)*((簡易ベッド!$H$3-簡易ベッド!$I$3)/簡易ベッド!$H$3),0)</f>
        <v>0</v>
      </c>
      <c r="L94" s="306">
        <f t="shared" si="25"/>
        <v>0</v>
      </c>
      <c r="M94" s="305">
        <f>IFERROR(SUMIF(体外式膜型人工肺!$C$30:$C$74,B94,体外式膜型人工肺!$K$30:$K$74)*((体外式膜型人工肺!$H$3-体外式膜型人工肺!$I$3)/体外式膜型人工肺!$H$3),0)</f>
        <v>0</v>
      </c>
      <c r="N94" s="306">
        <f t="shared" si="26"/>
        <v>0</v>
      </c>
      <c r="O94" s="306">
        <f t="shared" si="27"/>
        <v>0</v>
      </c>
      <c r="P94" s="306">
        <f t="shared" si="28"/>
        <v>0</v>
      </c>
      <c r="Q94" s="305">
        <f>IFERROR(SUMIF(紫外線照射装置!$C$30:$C$74,B94,紫外線照射装置!$K$30:$K$74)*((紫外線照射装置!$H$3-紫外線照射装置!$I$3)/紫外線照射装置!$H$3),0)</f>
        <v>0</v>
      </c>
      <c r="R94" s="306">
        <f t="shared" si="29"/>
        <v>0</v>
      </c>
      <c r="S94" s="419">
        <f t="shared" si="30"/>
        <v>0</v>
      </c>
      <c r="T94" s="305">
        <f>IFERROR(SUMIF(超音波画像診断装置!$C$30:$C$74,B94,超音波画像診断装置!$K$30:$K$74)*((超音波画像診断装置!$H$3-超音波画像診断装置!$I$3)/超音波画像診断装置!$H$3),0)</f>
        <v>0</v>
      </c>
      <c r="U94" s="306">
        <f t="shared" si="31"/>
        <v>0</v>
      </c>
      <c r="V94" s="305">
        <f>IFERROR(SUMIF(血液浄化装置!$C$30:$C$74,B94,血液浄化装置!$K$30:$K$74)*((血液浄化装置!$H$3-血液浄化装置!$I$3)/血液浄化装置!$H$3),0)</f>
        <v>0</v>
      </c>
      <c r="W94" s="306">
        <f t="shared" si="32"/>
        <v>0</v>
      </c>
      <c r="X94" s="305">
        <f>IFERROR(SUMIF(気管支鏡!$C$30:$C$74,B94,気管支鏡!$K$30:$K$74)*((気管支鏡!$H$3-気管支鏡!$I$3)/気管支鏡!$H$3),0)</f>
        <v>0</v>
      </c>
      <c r="Y94" s="306">
        <f t="shared" si="18"/>
        <v>0</v>
      </c>
      <c r="Z94" s="305">
        <f>IFERROR(SUMIF(CT撮影装置!$C$30:$C$74,B94,CT撮影装置!$K$30:$K$74)*((CT撮影装置!$H$3-CT撮影装置!$I$3)/CT撮影装置!$H$3),0)</f>
        <v>0</v>
      </c>
      <c r="AA94" s="306">
        <f t="shared" si="33"/>
        <v>0</v>
      </c>
      <c r="AB94" s="305">
        <f>IFERROR(SUMIF(生体情報モニタ!$C$30:$C$74,B94,生体情報モニタ!$K$30:$K$74)*((生体情報モニタ!$H$3-生体情報モニタ!$I$3)/生体情報モニタ!$H$3),0)</f>
        <v>0</v>
      </c>
      <c r="AC94" s="306">
        <f t="shared" si="19"/>
        <v>0</v>
      </c>
      <c r="AD94" s="305">
        <f>IFERROR(SUMIF(分娩監視装置!$C$30:$C$74,B94,分娩監視装置!$K$30:$K$74)*((分娩監視装置!$H$3-分娩監視装置!$I$3)/分娩監視装置!$H$3),0)</f>
        <v>0</v>
      </c>
      <c r="AE94" s="306">
        <f t="shared" si="34"/>
        <v>0</v>
      </c>
      <c r="AF94" s="305">
        <f>IFERROR(SUMIF(新生児モニタ!$C$30:$C$74,B94,新生児モニタ!$K$30:$K$74)*((新生児モニタ!$H$3-新生児モニタ!$I$3)/新生児モニタ!$H$3),0)</f>
        <v>0</v>
      </c>
      <c r="AG94" s="306">
        <f t="shared" si="35"/>
        <v>0</v>
      </c>
    </row>
    <row r="95" spans="2:33">
      <c r="B95" s="283" t="s">
        <v>908</v>
      </c>
      <c r="C95" s="305">
        <f>IFERROR(SUMIF(初度設備!$C$30:$C$74,B95,初度設備!$K$30:$K$74)*((初度設備!$H$3-初度設備!$I$3)/初度設備!$H$3),0)</f>
        <v>0</v>
      </c>
      <c r="D95" s="306">
        <f t="shared" si="20"/>
        <v>0</v>
      </c>
      <c r="E95" s="305">
        <f>IFERROR(SUMIF(人工呼吸器!$C$30:$C$74,B95,人工呼吸器!$K$30:$K$74)*((人工呼吸器!$H$3-人工呼吸器!$I$3)/人工呼吸器!$H$3),0)</f>
        <v>0</v>
      </c>
      <c r="F95" s="306">
        <f t="shared" si="21"/>
        <v>0</v>
      </c>
      <c r="G95" s="306">
        <f t="shared" si="22"/>
        <v>0</v>
      </c>
      <c r="H95" s="306">
        <f t="shared" si="23"/>
        <v>0</v>
      </c>
      <c r="I95" s="305">
        <f>IFERROR(SUMIF(簡易陰圧装置!$C$30:$C$74,B95,簡易陰圧装置!$K$30:$K$74)*((簡易陰圧装置!$H$3-簡易陰圧装置!$I$3)/簡易陰圧装置!$H$3),0)</f>
        <v>0</v>
      </c>
      <c r="J95" s="306">
        <f t="shared" si="24"/>
        <v>0</v>
      </c>
      <c r="K95" s="305">
        <f>IFERROR(SUMIF(簡易ベッド!$C$30:$C$74,B95,簡易ベッド!$K$30:$K$74)*((簡易ベッド!$H$3-簡易ベッド!$I$3)/簡易ベッド!$H$3),0)</f>
        <v>0</v>
      </c>
      <c r="L95" s="306">
        <f t="shared" si="25"/>
        <v>0</v>
      </c>
      <c r="M95" s="305">
        <f>IFERROR(SUMIF(体外式膜型人工肺!$C$30:$C$74,B95,体外式膜型人工肺!$K$30:$K$74)*((体外式膜型人工肺!$H$3-体外式膜型人工肺!$I$3)/体外式膜型人工肺!$H$3),0)</f>
        <v>0</v>
      </c>
      <c r="N95" s="306">
        <f t="shared" si="26"/>
        <v>0</v>
      </c>
      <c r="O95" s="306">
        <f t="shared" si="27"/>
        <v>0</v>
      </c>
      <c r="P95" s="306">
        <f t="shared" si="28"/>
        <v>0</v>
      </c>
      <c r="Q95" s="305">
        <f>IFERROR(SUMIF(紫外線照射装置!$C$30:$C$74,B95,紫外線照射装置!$K$30:$K$74)*((紫外線照射装置!$H$3-紫外線照射装置!$I$3)/紫外線照射装置!$H$3),0)</f>
        <v>0</v>
      </c>
      <c r="R95" s="306">
        <f t="shared" si="29"/>
        <v>0</v>
      </c>
      <c r="S95" s="419">
        <f t="shared" si="30"/>
        <v>0</v>
      </c>
      <c r="T95" s="305">
        <f>IFERROR(SUMIF(超音波画像診断装置!$C$30:$C$74,B95,超音波画像診断装置!$K$30:$K$74)*((超音波画像診断装置!$H$3-超音波画像診断装置!$I$3)/超音波画像診断装置!$H$3),0)</f>
        <v>0</v>
      </c>
      <c r="U95" s="306">
        <f t="shared" si="31"/>
        <v>0</v>
      </c>
      <c r="V95" s="305">
        <f>IFERROR(SUMIF(血液浄化装置!$C$30:$C$74,B95,血液浄化装置!$K$30:$K$74)*((血液浄化装置!$H$3-血液浄化装置!$I$3)/血液浄化装置!$H$3),0)</f>
        <v>0</v>
      </c>
      <c r="W95" s="306">
        <f t="shared" si="32"/>
        <v>0</v>
      </c>
      <c r="X95" s="305">
        <f>IFERROR(SUMIF(気管支鏡!$C$30:$C$74,B95,気管支鏡!$K$30:$K$74)*((気管支鏡!$H$3-気管支鏡!$I$3)/気管支鏡!$H$3),0)</f>
        <v>0</v>
      </c>
      <c r="Y95" s="306">
        <f t="shared" si="18"/>
        <v>0</v>
      </c>
      <c r="Z95" s="305">
        <f>IFERROR(SUMIF(CT撮影装置!$C$30:$C$74,B95,CT撮影装置!$K$30:$K$74)*((CT撮影装置!$H$3-CT撮影装置!$I$3)/CT撮影装置!$H$3),0)</f>
        <v>0</v>
      </c>
      <c r="AA95" s="306">
        <f t="shared" si="33"/>
        <v>0</v>
      </c>
      <c r="AB95" s="305">
        <f>IFERROR(SUMIF(生体情報モニタ!$C$30:$C$74,B95,生体情報モニタ!$K$30:$K$74)*((生体情報モニタ!$H$3-生体情報モニタ!$I$3)/生体情報モニタ!$H$3),0)</f>
        <v>0</v>
      </c>
      <c r="AC95" s="306">
        <f t="shared" si="19"/>
        <v>0</v>
      </c>
      <c r="AD95" s="305">
        <f>IFERROR(SUMIF(分娩監視装置!$C$30:$C$74,B95,分娩監視装置!$K$30:$K$74)*((分娩監視装置!$H$3-分娩監視装置!$I$3)/分娩監視装置!$H$3),0)</f>
        <v>0</v>
      </c>
      <c r="AE95" s="306">
        <f t="shared" si="34"/>
        <v>0</v>
      </c>
      <c r="AF95" s="305">
        <f>IFERROR(SUMIF(新生児モニタ!$C$30:$C$74,B95,新生児モニタ!$K$30:$K$74)*((新生児モニタ!$H$3-新生児モニタ!$I$3)/新生児モニタ!$H$3),0)</f>
        <v>0</v>
      </c>
      <c r="AG95" s="306">
        <f t="shared" si="35"/>
        <v>0</v>
      </c>
    </row>
    <row r="96" spans="2:33">
      <c r="B96" s="283" t="s">
        <v>909</v>
      </c>
      <c r="C96" s="305">
        <f>IFERROR(SUMIF(初度設備!$C$30:$C$74,B96,初度設備!$K$30:$K$74)*((初度設備!$H$3-初度設備!$I$3)/初度設備!$H$3),0)</f>
        <v>0</v>
      </c>
      <c r="D96" s="306">
        <f t="shared" si="20"/>
        <v>0</v>
      </c>
      <c r="E96" s="305">
        <f>IFERROR(SUMIF(人工呼吸器!$C$30:$C$74,B96,人工呼吸器!$K$30:$K$74)*((人工呼吸器!$H$3-人工呼吸器!$I$3)/人工呼吸器!$H$3),0)</f>
        <v>0</v>
      </c>
      <c r="F96" s="306">
        <f t="shared" si="21"/>
        <v>0</v>
      </c>
      <c r="G96" s="306">
        <f t="shared" si="22"/>
        <v>0</v>
      </c>
      <c r="H96" s="306">
        <f t="shared" si="23"/>
        <v>0</v>
      </c>
      <c r="I96" s="305">
        <f>IFERROR(SUMIF(簡易陰圧装置!$C$30:$C$74,B96,簡易陰圧装置!$K$30:$K$74)*((簡易陰圧装置!$H$3-簡易陰圧装置!$I$3)/簡易陰圧装置!$H$3),0)</f>
        <v>0</v>
      </c>
      <c r="J96" s="306">
        <f t="shared" si="24"/>
        <v>0</v>
      </c>
      <c r="K96" s="305">
        <f>IFERROR(SUMIF(簡易ベッド!$C$30:$C$74,B96,簡易ベッド!$K$30:$K$74)*((簡易ベッド!$H$3-簡易ベッド!$I$3)/簡易ベッド!$H$3),0)</f>
        <v>0</v>
      </c>
      <c r="L96" s="306">
        <f t="shared" si="25"/>
        <v>0</v>
      </c>
      <c r="M96" s="305">
        <f>IFERROR(SUMIF(体外式膜型人工肺!$C$30:$C$74,B96,体外式膜型人工肺!$K$30:$K$74)*((体外式膜型人工肺!$H$3-体外式膜型人工肺!$I$3)/体外式膜型人工肺!$H$3),0)</f>
        <v>0</v>
      </c>
      <c r="N96" s="306">
        <f t="shared" si="26"/>
        <v>0</v>
      </c>
      <c r="O96" s="306">
        <f t="shared" si="27"/>
        <v>0</v>
      </c>
      <c r="P96" s="306">
        <f t="shared" si="28"/>
        <v>0</v>
      </c>
      <c r="Q96" s="305">
        <f>IFERROR(SUMIF(紫外線照射装置!$C$30:$C$74,B96,紫外線照射装置!$K$30:$K$74)*((紫外線照射装置!$H$3-紫外線照射装置!$I$3)/紫外線照射装置!$H$3),0)</f>
        <v>0</v>
      </c>
      <c r="R96" s="306">
        <f t="shared" si="29"/>
        <v>0</v>
      </c>
      <c r="S96" s="419">
        <f t="shared" si="30"/>
        <v>0</v>
      </c>
      <c r="T96" s="305">
        <f>IFERROR(SUMIF(超音波画像診断装置!$C$30:$C$74,B96,超音波画像診断装置!$K$30:$K$74)*((超音波画像診断装置!$H$3-超音波画像診断装置!$I$3)/超音波画像診断装置!$H$3),0)</f>
        <v>0</v>
      </c>
      <c r="U96" s="306">
        <f t="shared" si="31"/>
        <v>0</v>
      </c>
      <c r="V96" s="305">
        <f>IFERROR(SUMIF(血液浄化装置!$C$30:$C$74,B96,血液浄化装置!$K$30:$K$74)*((血液浄化装置!$H$3-血液浄化装置!$I$3)/血液浄化装置!$H$3),0)</f>
        <v>0</v>
      </c>
      <c r="W96" s="306">
        <f t="shared" si="32"/>
        <v>0</v>
      </c>
      <c r="X96" s="305">
        <f>IFERROR(SUMIF(気管支鏡!$C$30:$C$74,B96,気管支鏡!$K$30:$K$74)*((気管支鏡!$H$3-気管支鏡!$I$3)/気管支鏡!$H$3),0)</f>
        <v>0</v>
      </c>
      <c r="Y96" s="306">
        <f t="shared" si="18"/>
        <v>0</v>
      </c>
      <c r="Z96" s="305">
        <f>IFERROR(SUMIF(CT撮影装置!$C$30:$C$74,B96,CT撮影装置!$K$30:$K$74)*((CT撮影装置!$H$3-CT撮影装置!$I$3)/CT撮影装置!$H$3),0)</f>
        <v>0</v>
      </c>
      <c r="AA96" s="306">
        <f t="shared" si="33"/>
        <v>0</v>
      </c>
      <c r="AB96" s="305">
        <f>IFERROR(SUMIF(生体情報モニタ!$C$30:$C$74,B96,生体情報モニタ!$K$30:$K$74)*((生体情報モニタ!$H$3-生体情報モニタ!$I$3)/生体情報モニタ!$H$3),0)</f>
        <v>0</v>
      </c>
      <c r="AC96" s="306">
        <f t="shared" si="19"/>
        <v>0</v>
      </c>
      <c r="AD96" s="305">
        <f>IFERROR(SUMIF(分娩監視装置!$C$30:$C$74,B96,分娩監視装置!$K$30:$K$74)*((分娩監視装置!$H$3-分娩監視装置!$I$3)/分娩監視装置!$H$3),0)</f>
        <v>0</v>
      </c>
      <c r="AE96" s="306">
        <f t="shared" si="34"/>
        <v>0</v>
      </c>
      <c r="AF96" s="305">
        <f>IFERROR(SUMIF(新生児モニタ!$C$30:$C$74,B96,新生児モニタ!$K$30:$K$74)*((新生児モニタ!$H$3-新生児モニタ!$I$3)/新生児モニタ!$H$3),0)</f>
        <v>0</v>
      </c>
      <c r="AG96" s="306">
        <f t="shared" si="35"/>
        <v>0</v>
      </c>
    </row>
    <row r="97" spans="2:33">
      <c r="B97" s="283" t="s">
        <v>910</v>
      </c>
      <c r="C97" s="305">
        <f>IFERROR(SUMIF(初度設備!$C$30:$C$74,B97,初度設備!$K$30:$K$74)*((初度設備!$H$3-初度設備!$I$3)/初度設備!$H$3),0)</f>
        <v>0</v>
      </c>
      <c r="D97" s="306">
        <f t="shared" si="20"/>
        <v>0</v>
      </c>
      <c r="E97" s="305">
        <f>IFERROR(SUMIF(人工呼吸器!$C$30:$C$74,B97,人工呼吸器!$K$30:$K$74)*((人工呼吸器!$H$3-人工呼吸器!$I$3)/人工呼吸器!$H$3),0)</f>
        <v>0</v>
      </c>
      <c r="F97" s="306">
        <f t="shared" si="21"/>
        <v>0</v>
      </c>
      <c r="G97" s="306">
        <f t="shared" si="22"/>
        <v>0</v>
      </c>
      <c r="H97" s="306">
        <f t="shared" si="23"/>
        <v>0</v>
      </c>
      <c r="I97" s="305">
        <f>IFERROR(SUMIF(簡易陰圧装置!$C$30:$C$74,B97,簡易陰圧装置!$K$30:$K$74)*((簡易陰圧装置!$H$3-簡易陰圧装置!$I$3)/簡易陰圧装置!$H$3),0)</f>
        <v>0</v>
      </c>
      <c r="J97" s="306">
        <f t="shared" si="24"/>
        <v>0</v>
      </c>
      <c r="K97" s="305">
        <f>IFERROR(SUMIF(簡易ベッド!$C$30:$C$74,B97,簡易ベッド!$K$30:$K$74)*((簡易ベッド!$H$3-簡易ベッド!$I$3)/簡易ベッド!$H$3),0)</f>
        <v>0</v>
      </c>
      <c r="L97" s="306">
        <f t="shared" si="25"/>
        <v>0</v>
      </c>
      <c r="M97" s="305">
        <f>IFERROR(SUMIF(体外式膜型人工肺!$C$30:$C$74,B97,体外式膜型人工肺!$K$30:$K$74)*((体外式膜型人工肺!$H$3-体外式膜型人工肺!$I$3)/体外式膜型人工肺!$H$3),0)</f>
        <v>0</v>
      </c>
      <c r="N97" s="306">
        <f t="shared" si="26"/>
        <v>0</v>
      </c>
      <c r="O97" s="306">
        <f t="shared" si="27"/>
        <v>0</v>
      </c>
      <c r="P97" s="306">
        <f t="shared" si="28"/>
        <v>0</v>
      </c>
      <c r="Q97" s="305">
        <f>IFERROR(SUMIF(紫外線照射装置!$C$30:$C$74,B97,紫外線照射装置!$K$30:$K$74)*((紫外線照射装置!$H$3-紫外線照射装置!$I$3)/紫外線照射装置!$H$3),0)</f>
        <v>0</v>
      </c>
      <c r="R97" s="306">
        <f t="shared" si="29"/>
        <v>0</v>
      </c>
      <c r="S97" s="419">
        <f t="shared" si="30"/>
        <v>0</v>
      </c>
      <c r="T97" s="305">
        <f>IFERROR(SUMIF(超音波画像診断装置!$C$30:$C$74,B97,超音波画像診断装置!$K$30:$K$74)*((超音波画像診断装置!$H$3-超音波画像診断装置!$I$3)/超音波画像診断装置!$H$3),0)</f>
        <v>0</v>
      </c>
      <c r="U97" s="306">
        <f t="shared" si="31"/>
        <v>0</v>
      </c>
      <c r="V97" s="305">
        <f>IFERROR(SUMIF(血液浄化装置!$C$30:$C$74,B97,血液浄化装置!$K$30:$K$74)*((血液浄化装置!$H$3-血液浄化装置!$I$3)/血液浄化装置!$H$3),0)</f>
        <v>0</v>
      </c>
      <c r="W97" s="306">
        <f t="shared" si="32"/>
        <v>0</v>
      </c>
      <c r="X97" s="305">
        <f>IFERROR(SUMIF(気管支鏡!$C$30:$C$74,B97,気管支鏡!$K$30:$K$74)*((気管支鏡!$H$3-気管支鏡!$I$3)/気管支鏡!$H$3),0)</f>
        <v>0</v>
      </c>
      <c r="Y97" s="306">
        <f t="shared" si="18"/>
        <v>0</v>
      </c>
      <c r="Z97" s="305">
        <f>IFERROR(SUMIF(CT撮影装置!$C$30:$C$74,B97,CT撮影装置!$K$30:$K$74)*((CT撮影装置!$H$3-CT撮影装置!$I$3)/CT撮影装置!$H$3),0)</f>
        <v>0</v>
      </c>
      <c r="AA97" s="306">
        <f t="shared" si="33"/>
        <v>0</v>
      </c>
      <c r="AB97" s="305">
        <f>IFERROR(SUMIF(生体情報モニタ!$C$30:$C$74,B97,生体情報モニタ!$K$30:$K$74)*((生体情報モニタ!$H$3-生体情報モニタ!$I$3)/生体情報モニタ!$H$3),0)</f>
        <v>0</v>
      </c>
      <c r="AC97" s="306">
        <f t="shared" si="19"/>
        <v>0</v>
      </c>
      <c r="AD97" s="305">
        <f>IFERROR(SUMIF(分娩監視装置!$C$30:$C$74,B97,分娩監視装置!$K$30:$K$74)*((分娩監視装置!$H$3-分娩監視装置!$I$3)/分娩監視装置!$H$3),0)</f>
        <v>0</v>
      </c>
      <c r="AE97" s="306">
        <f t="shared" si="34"/>
        <v>0</v>
      </c>
      <c r="AF97" s="305">
        <f>IFERROR(SUMIF(新生児モニタ!$C$30:$C$74,B97,新生児モニタ!$K$30:$K$74)*((新生児モニタ!$H$3-新生児モニタ!$I$3)/新生児モニタ!$H$3),0)</f>
        <v>0</v>
      </c>
      <c r="AG97" s="306">
        <f t="shared" si="35"/>
        <v>0</v>
      </c>
    </row>
    <row r="98" spans="2:33">
      <c r="B98" s="283" t="s">
        <v>911</v>
      </c>
      <c r="C98" s="305">
        <f>IFERROR(SUMIF(初度設備!$C$30:$C$74,B98,初度設備!$K$30:$K$74)*((初度設備!$H$3-初度設備!$I$3)/初度設備!$H$3),0)</f>
        <v>0</v>
      </c>
      <c r="D98" s="306">
        <f t="shared" si="20"/>
        <v>0</v>
      </c>
      <c r="E98" s="305">
        <f>IFERROR(SUMIF(人工呼吸器!$C$30:$C$74,B98,人工呼吸器!$K$30:$K$74)*((人工呼吸器!$H$3-人工呼吸器!$I$3)/人工呼吸器!$H$3),0)</f>
        <v>0</v>
      </c>
      <c r="F98" s="306">
        <f t="shared" si="21"/>
        <v>0</v>
      </c>
      <c r="G98" s="306">
        <f t="shared" si="22"/>
        <v>0</v>
      </c>
      <c r="H98" s="306">
        <f t="shared" si="23"/>
        <v>0</v>
      </c>
      <c r="I98" s="305">
        <f>IFERROR(SUMIF(簡易陰圧装置!$C$30:$C$74,B98,簡易陰圧装置!$K$30:$K$74)*((簡易陰圧装置!$H$3-簡易陰圧装置!$I$3)/簡易陰圧装置!$H$3),0)</f>
        <v>0</v>
      </c>
      <c r="J98" s="306">
        <f t="shared" si="24"/>
        <v>0</v>
      </c>
      <c r="K98" s="305">
        <f>IFERROR(SUMIF(簡易ベッド!$C$30:$C$74,B98,簡易ベッド!$K$30:$K$74)*((簡易ベッド!$H$3-簡易ベッド!$I$3)/簡易ベッド!$H$3),0)</f>
        <v>0</v>
      </c>
      <c r="L98" s="306">
        <f t="shared" si="25"/>
        <v>0</v>
      </c>
      <c r="M98" s="305">
        <f>IFERROR(SUMIF(体外式膜型人工肺!$C$30:$C$74,B98,体外式膜型人工肺!$K$30:$K$74)*((体外式膜型人工肺!$H$3-体外式膜型人工肺!$I$3)/体外式膜型人工肺!$H$3),0)</f>
        <v>0</v>
      </c>
      <c r="N98" s="306">
        <f t="shared" si="26"/>
        <v>0</v>
      </c>
      <c r="O98" s="306">
        <f t="shared" si="27"/>
        <v>0</v>
      </c>
      <c r="P98" s="306">
        <f t="shared" si="28"/>
        <v>0</v>
      </c>
      <c r="Q98" s="305">
        <f>IFERROR(SUMIF(紫外線照射装置!$C$30:$C$74,B98,紫外線照射装置!$K$30:$K$74)*((紫外線照射装置!$H$3-紫外線照射装置!$I$3)/紫外線照射装置!$H$3),0)</f>
        <v>0</v>
      </c>
      <c r="R98" s="306">
        <f t="shared" si="29"/>
        <v>0</v>
      </c>
      <c r="S98" s="419">
        <f t="shared" si="30"/>
        <v>0</v>
      </c>
      <c r="T98" s="305">
        <f>IFERROR(SUMIF(超音波画像診断装置!$C$30:$C$74,B98,超音波画像診断装置!$K$30:$K$74)*((超音波画像診断装置!$H$3-超音波画像診断装置!$I$3)/超音波画像診断装置!$H$3),0)</f>
        <v>0</v>
      </c>
      <c r="U98" s="306">
        <f t="shared" si="31"/>
        <v>0</v>
      </c>
      <c r="V98" s="305">
        <f>IFERROR(SUMIF(血液浄化装置!$C$30:$C$74,B98,血液浄化装置!$K$30:$K$74)*((血液浄化装置!$H$3-血液浄化装置!$I$3)/血液浄化装置!$H$3),0)</f>
        <v>0</v>
      </c>
      <c r="W98" s="306">
        <f t="shared" si="32"/>
        <v>0</v>
      </c>
      <c r="X98" s="305">
        <f>IFERROR(SUMIF(気管支鏡!$C$30:$C$74,B98,気管支鏡!$K$30:$K$74)*((気管支鏡!$H$3-気管支鏡!$I$3)/気管支鏡!$H$3),0)</f>
        <v>0</v>
      </c>
      <c r="Y98" s="306">
        <f t="shared" si="18"/>
        <v>0</v>
      </c>
      <c r="Z98" s="305">
        <f>IFERROR(SUMIF(CT撮影装置!$C$30:$C$74,B98,CT撮影装置!$K$30:$K$74)*((CT撮影装置!$H$3-CT撮影装置!$I$3)/CT撮影装置!$H$3),0)</f>
        <v>0</v>
      </c>
      <c r="AA98" s="306">
        <f t="shared" si="33"/>
        <v>0</v>
      </c>
      <c r="AB98" s="305">
        <f>IFERROR(SUMIF(生体情報モニタ!$C$30:$C$74,B98,生体情報モニタ!$K$30:$K$74)*((生体情報モニタ!$H$3-生体情報モニタ!$I$3)/生体情報モニタ!$H$3),0)</f>
        <v>0</v>
      </c>
      <c r="AC98" s="306">
        <f t="shared" si="19"/>
        <v>0</v>
      </c>
      <c r="AD98" s="305">
        <f>IFERROR(SUMIF(分娩監視装置!$C$30:$C$74,B98,分娩監視装置!$K$30:$K$74)*((分娩監視装置!$H$3-分娩監視装置!$I$3)/分娩監視装置!$H$3),0)</f>
        <v>0</v>
      </c>
      <c r="AE98" s="306">
        <f t="shared" si="34"/>
        <v>0</v>
      </c>
      <c r="AF98" s="305">
        <f>IFERROR(SUMIF(新生児モニタ!$C$30:$C$74,B98,新生児モニタ!$K$30:$K$74)*((新生児モニタ!$H$3-新生児モニタ!$I$3)/新生児モニタ!$H$3),0)</f>
        <v>0</v>
      </c>
      <c r="AG98" s="306">
        <f t="shared" si="35"/>
        <v>0</v>
      </c>
    </row>
    <row r="99" spans="2:33">
      <c r="B99" s="283" t="s">
        <v>912</v>
      </c>
      <c r="C99" s="305">
        <f>IFERROR(SUMIF(初度設備!$C$30:$C$74,B99,初度設備!$K$30:$K$74)*((初度設備!$H$3-初度設備!$I$3)/初度設備!$H$3),0)</f>
        <v>0</v>
      </c>
      <c r="D99" s="306">
        <f t="shared" si="20"/>
        <v>0</v>
      </c>
      <c r="E99" s="305">
        <f>IFERROR(SUMIF(人工呼吸器!$C$30:$C$74,B99,人工呼吸器!$K$30:$K$74)*((人工呼吸器!$H$3-人工呼吸器!$I$3)/人工呼吸器!$H$3),0)</f>
        <v>0</v>
      </c>
      <c r="F99" s="306">
        <f t="shared" si="21"/>
        <v>0</v>
      </c>
      <c r="G99" s="306">
        <f t="shared" si="22"/>
        <v>0</v>
      </c>
      <c r="H99" s="306">
        <f t="shared" si="23"/>
        <v>0</v>
      </c>
      <c r="I99" s="305">
        <f>IFERROR(SUMIF(簡易陰圧装置!$C$30:$C$74,B99,簡易陰圧装置!$K$30:$K$74)*((簡易陰圧装置!$H$3-簡易陰圧装置!$I$3)/簡易陰圧装置!$H$3),0)</f>
        <v>0</v>
      </c>
      <c r="J99" s="306">
        <f t="shared" si="24"/>
        <v>0</v>
      </c>
      <c r="K99" s="305">
        <f>IFERROR(SUMIF(簡易ベッド!$C$30:$C$74,B99,簡易ベッド!$K$30:$K$74)*((簡易ベッド!$H$3-簡易ベッド!$I$3)/簡易ベッド!$H$3),0)</f>
        <v>0</v>
      </c>
      <c r="L99" s="306">
        <f t="shared" si="25"/>
        <v>0</v>
      </c>
      <c r="M99" s="305">
        <f>IFERROR(SUMIF(体外式膜型人工肺!$C$30:$C$74,B99,体外式膜型人工肺!$K$30:$K$74)*((体外式膜型人工肺!$H$3-体外式膜型人工肺!$I$3)/体外式膜型人工肺!$H$3),0)</f>
        <v>0</v>
      </c>
      <c r="N99" s="306">
        <f t="shared" si="26"/>
        <v>0</v>
      </c>
      <c r="O99" s="306">
        <f t="shared" si="27"/>
        <v>0</v>
      </c>
      <c r="P99" s="306">
        <f t="shared" si="28"/>
        <v>0</v>
      </c>
      <c r="Q99" s="305">
        <f>IFERROR(SUMIF(紫外線照射装置!$C$30:$C$74,B99,紫外線照射装置!$K$30:$K$74)*((紫外線照射装置!$H$3-紫外線照射装置!$I$3)/紫外線照射装置!$H$3),0)</f>
        <v>0</v>
      </c>
      <c r="R99" s="306">
        <f t="shared" si="29"/>
        <v>0</v>
      </c>
      <c r="S99" s="419">
        <f t="shared" si="30"/>
        <v>0</v>
      </c>
      <c r="T99" s="305">
        <f>IFERROR(SUMIF(超音波画像診断装置!$C$30:$C$74,B99,超音波画像診断装置!$K$30:$K$74)*((超音波画像診断装置!$H$3-超音波画像診断装置!$I$3)/超音波画像診断装置!$H$3),0)</f>
        <v>0</v>
      </c>
      <c r="U99" s="306">
        <f t="shared" si="31"/>
        <v>0</v>
      </c>
      <c r="V99" s="305">
        <f>IFERROR(SUMIF(血液浄化装置!$C$30:$C$74,B99,血液浄化装置!$K$30:$K$74)*((血液浄化装置!$H$3-血液浄化装置!$I$3)/血液浄化装置!$H$3),0)</f>
        <v>0</v>
      </c>
      <c r="W99" s="306">
        <f t="shared" si="32"/>
        <v>0</v>
      </c>
      <c r="X99" s="305">
        <f>IFERROR(SUMIF(気管支鏡!$C$30:$C$74,B99,気管支鏡!$K$30:$K$74)*((気管支鏡!$H$3-気管支鏡!$I$3)/気管支鏡!$H$3),0)</f>
        <v>0</v>
      </c>
      <c r="Y99" s="306">
        <f t="shared" si="18"/>
        <v>0</v>
      </c>
      <c r="Z99" s="305">
        <f>IFERROR(SUMIF(CT撮影装置!$C$30:$C$74,B99,CT撮影装置!$K$30:$K$74)*((CT撮影装置!$H$3-CT撮影装置!$I$3)/CT撮影装置!$H$3),0)</f>
        <v>0</v>
      </c>
      <c r="AA99" s="306">
        <f t="shared" si="33"/>
        <v>0</v>
      </c>
      <c r="AB99" s="305">
        <f>IFERROR(SUMIF(生体情報モニタ!$C$30:$C$74,B99,生体情報モニタ!$K$30:$K$74)*((生体情報モニタ!$H$3-生体情報モニタ!$I$3)/生体情報モニタ!$H$3),0)</f>
        <v>0</v>
      </c>
      <c r="AC99" s="306">
        <f t="shared" si="19"/>
        <v>0</v>
      </c>
      <c r="AD99" s="305">
        <f>IFERROR(SUMIF(分娩監視装置!$C$30:$C$74,B99,分娩監視装置!$K$30:$K$74)*((分娩監視装置!$H$3-分娩監視装置!$I$3)/分娩監視装置!$H$3),0)</f>
        <v>0</v>
      </c>
      <c r="AE99" s="306">
        <f t="shared" si="34"/>
        <v>0</v>
      </c>
      <c r="AF99" s="305">
        <f>IFERROR(SUMIF(新生児モニタ!$C$30:$C$74,B99,新生児モニタ!$K$30:$K$74)*((新生児モニタ!$H$3-新生児モニタ!$I$3)/新生児モニタ!$H$3),0)</f>
        <v>0</v>
      </c>
      <c r="AG99" s="306">
        <f t="shared" si="35"/>
        <v>0</v>
      </c>
    </row>
    <row r="100" spans="2:33">
      <c r="B100" s="283" t="s">
        <v>913</v>
      </c>
      <c r="C100" s="305">
        <f>IFERROR(SUMIF(初度設備!$C$30:$C$74,B100,初度設備!$K$30:$K$74)*((初度設備!$H$3-初度設備!$I$3)/初度設備!$H$3),0)</f>
        <v>0</v>
      </c>
      <c r="D100" s="306">
        <f t="shared" si="20"/>
        <v>0</v>
      </c>
      <c r="E100" s="305">
        <f>IFERROR(SUMIF(人工呼吸器!$C$30:$C$74,B100,人工呼吸器!$K$30:$K$74)*((人工呼吸器!$H$3-人工呼吸器!$I$3)/人工呼吸器!$H$3),0)</f>
        <v>0</v>
      </c>
      <c r="F100" s="306">
        <f t="shared" si="21"/>
        <v>0</v>
      </c>
      <c r="G100" s="306">
        <f t="shared" si="22"/>
        <v>0</v>
      </c>
      <c r="H100" s="306">
        <f t="shared" si="23"/>
        <v>0</v>
      </c>
      <c r="I100" s="305">
        <f>IFERROR(SUMIF(簡易陰圧装置!$C$30:$C$74,B100,簡易陰圧装置!$K$30:$K$74)*((簡易陰圧装置!$H$3-簡易陰圧装置!$I$3)/簡易陰圧装置!$H$3),0)</f>
        <v>0</v>
      </c>
      <c r="J100" s="306">
        <f t="shared" si="24"/>
        <v>0</v>
      </c>
      <c r="K100" s="305">
        <f>IFERROR(SUMIF(簡易ベッド!$C$30:$C$74,B100,簡易ベッド!$K$30:$K$74)*((簡易ベッド!$H$3-簡易ベッド!$I$3)/簡易ベッド!$H$3),0)</f>
        <v>0</v>
      </c>
      <c r="L100" s="306">
        <f t="shared" si="25"/>
        <v>0</v>
      </c>
      <c r="M100" s="305">
        <f>IFERROR(SUMIF(体外式膜型人工肺!$C$30:$C$74,B100,体外式膜型人工肺!$K$30:$K$74)*((体外式膜型人工肺!$H$3-体外式膜型人工肺!$I$3)/体外式膜型人工肺!$H$3),0)</f>
        <v>0</v>
      </c>
      <c r="N100" s="306">
        <f t="shared" si="26"/>
        <v>0</v>
      </c>
      <c r="O100" s="306">
        <f t="shared" si="27"/>
        <v>0</v>
      </c>
      <c r="P100" s="306">
        <f t="shared" si="28"/>
        <v>0</v>
      </c>
      <c r="Q100" s="305">
        <f>IFERROR(SUMIF(紫外線照射装置!$C$30:$C$74,B100,紫外線照射装置!$K$30:$K$74)*((紫外線照射装置!$H$3-紫外線照射装置!$I$3)/紫外線照射装置!$H$3),0)</f>
        <v>0</v>
      </c>
      <c r="R100" s="306">
        <f t="shared" si="29"/>
        <v>0</v>
      </c>
      <c r="S100" s="419">
        <f t="shared" si="30"/>
        <v>0</v>
      </c>
      <c r="T100" s="305">
        <f>IFERROR(SUMIF(超音波画像診断装置!$C$30:$C$74,B100,超音波画像診断装置!$K$30:$K$74)*((超音波画像診断装置!$H$3-超音波画像診断装置!$I$3)/超音波画像診断装置!$H$3),0)</f>
        <v>0</v>
      </c>
      <c r="U100" s="306">
        <f t="shared" si="31"/>
        <v>0</v>
      </c>
      <c r="V100" s="305">
        <f>IFERROR(SUMIF(血液浄化装置!$C$30:$C$74,B100,血液浄化装置!$K$30:$K$74)*((血液浄化装置!$H$3-血液浄化装置!$I$3)/血液浄化装置!$H$3),0)</f>
        <v>0</v>
      </c>
      <c r="W100" s="306">
        <f t="shared" si="32"/>
        <v>0</v>
      </c>
      <c r="X100" s="305">
        <f>IFERROR(SUMIF(気管支鏡!$C$30:$C$74,B100,気管支鏡!$K$30:$K$74)*((気管支鏡!$H$3-気管支鏡!$I$3)/気管支鏡!$H$3),0)</f>
        <v>0</v>
      </c>
      <c r="Y100" s="306">
        <f t="shared" si="18"/>
        <v>0</v>
      </c>
      <c r="Z100" s="305">
        <f>IFERROR(SUMIF(CT撮影装置!$C$30:$C$74,B100,CT撮影装置!$K$30:$K$74)*((CT撮影装置!$H$3-CT撮影装置!$I$3)/CT撮影装置!$H$3),0)</f>
        <v>0</v>
      </c>
      <c r="AA100" s="306">
        <f t="shared" si="33"/>
        <v>0</v>
      </c>
      <c r="AB100" s="305">
        <f>IFERROR(SUMIF(生体情報モニタ!$C$30:$C$74,B100,生体情報モニタ!$K$30:$K$74)*((生体情報モニタ!$H$3-生体情報モニタ!$I$3)/生体情報モニタ!$H$3),0)</f>
        <v>0</v>
      </c>
      <c r="AC100" s="306">
        <f t="shared" si="19"/>
        <v>0</v>
      </c>
      <c r="AD100" s="305">
        <f>IFERROR(SUMIF(分娩監視装置!$C$30:$C$74,B100,分娩監視装置!$K$30:$K$74)*((分娩監視装置!$H$3-分娩監視装置!$I$3)/分娩監視装置!$H$3),0)</f>
        <v>0</v>
      </c>
      <c r="AE100" s="306">
        <f t="shared" si="34"/>
        <v>0</v>
      </c>
      <c r="AF100" s="305">
        <f>IFERROR(SUMIF(新生児モニタ!$C$30:$C$74,B100,新生児モニタ!$K$30:$K$74)*((新生児モニタ!$H$3-新生児モニタ!$I$3)/新生児モニタ!$H$3),0)</f>
        <v>0</v>
      </c>
      <c r="AG100" s="306">
        <f t="shared" si="35"/>
        <v>0</v>
      </c>
    </row>
    <row r="101" spans="2:33">
      <c r="B101" s="283" t="s">
        <v>914</v>
      </c>
      <c r="C101" s="305">
        <f>IFERROR(SUMIF(初度設備!$C$30:$C$74,B101,初度設備!$K$30:$K$74)*((初度設備!$H$3-初度設備!$I$3)/初度設備!$H$3),0)</f>
        <v>0</v>
      </c>
      <c r="D101" s="306">
        <f t="shared" si="20"/>
        <v>0</v>
      </c>
      <c r="E101" s="305">
        <f>IFERROR(SUMIF(人工呼吸器!$C$30:$C$74,B101,人工呼吸器!$K$30:$K$74)*((人工呼吸器!$H$3-人工呼吸器!$I$3)/人工呼吸器!$H$3),0)</f>
        <v>0</v>
      </c>
      <c r="F101" s="306">
        <f t="shared" si="21"/>
        <v>0</v>
      </c>
      <c r="G101" s="306">
        <f t="shared" si="22"/>
        <v>0</v>
      </c>
      <c r="H101" s="306">
        <f t="shared" si="23"/>
        <v>0</v>
      </c>
      <c r="I101" s="305">
        <f>IFERROR(SUMIF(簡易陰圧装置!$C$30:$C$74,B101,簡易陰圧装置!$K$30:$K$74)*((簡易陰圧装置!$H$3-簡易陰圧装置!$I$3)/簡易陰圧装置!$H$3),0)</f>
        <v>0</v>
      </c>
      <c r="J101" s="306">
        <f t="shared" si="24"/>
        <v>0</v>
      </c>
      <c r="K101" s="305">
        <f>IFERROR(SUMIF(簡易ベッド!$C$30:$C$74,B101,簡易ベッド!$K$30:$K$74)*((簡易ベッド!$H$3-簡易ベッド!$I$3)/簡易ベッド!$H$3),0)</f>
        <v>0</v>
      </c>
      <c r="L101" s="306">
        <f t="shared" si="25"/>
        <v>0</v>
      </c>
      <c r="M101" s="305">
        <f>IFERROR(SUMIF(体外式膜型人工肺!$C$30:$C$74,B101,体外式膜型人工肺!$K$30:$K$74)*((体外式膜型人工肺!$H$3-体外式膜型人工肺!$I$3)/体外式膜型人工肺!$H$3),0)</f>
        <v>0</v>
      </c>
      <c r="N101" s="306">
        <f t="shared" si="26"/>
        <v>0</v>
      </c>
      <c r="O101" s="306">
        <f t="shared" si="27"/>
        <v>0</v>
      </c>
      <c r="P101" s="306">
        <f t="shared" si="28"/>
        <v>0</v>
      </c>
      <c r="Q101" s="305">
        <f>IFERROR(SUMIF(紫外線照射装置!$C$30:$C$74,B101,紫外線照射装置!$K$30:$K$74)*((紫外線照射装置!$H$3-紫外線照射装置!$I$3)/紫外線照射装置!$H$3),0)</f>
        <v>0</v>
      </c>
      <c r="R101" s="306">
        <f t="shared" si="29"/>
        <v>0</v>
      </c>
      <c r="S101" s="419">
        <f t="shared" si="30"/>
        <v>0</v>
      </c>
      <c r="T101" s="305">
        <f>IFERROR(SUMIF(超音波画像診断装置!$C$30:$C$74,B101,超音波画像診断装置!$K$30:$K$74)*((超音波画像診断装置!$H$3-超音波画像診断装置!$I$3)/超音波画像診断装置!$H$3),0)</f>
        <v>0</v>
      </c>
      <c r="U101" s="306">
        <f t="shared" si="31"/>
        <v>0</v>
      </c>
      <c r="V101" s="305">
        <f>IFERROR(SUMIF(血液浄化装置!$C$30:$C$74,B101,血液浄化装置!$K$30:$K$74)*((血液浄化装置!$H$3-血液浄化装置!$I$3)/血液浄化装置!$H$3),0)</f>
        <v>0</v>
      </c>
      <c r="W101" s="306">
        <f t="shared" si="32"/>
        <v>0</v>
      </c>
      <c r="X101" s="305">
        <f>IFERROR(SUMIF(気管支鏡!$C$30:$C$74,B101,気管支鏡!$K$30:$K$74)*((気管支鏡!$H$3-気管支鏡!$I$3)/気管支鏡!$H$3),0)</f>
        <v>0</v>
      </c>
      <c r="Y101" s="306">
        <f t="shared" si="18"/>
        <v>0</v>
      </c>
      <c r="Z101" s="305">
        <f>IFERROR(SUMIF(CT撮影装置!$C$30:$C$74,B101,CT撮影装置!$K$30:$K$74)*((CT撮影装置!$H$3-CT撮影装置!$I$3)/CT撮影装置!$H$3),0)</f>
        <v>0</v>
      </c>
      <c r="AA101" s="306">
        <f t="shared" si="33"/>
        <v>0</v>
      </c>
      <c r="AB101" s="305">
        <f>IFERROR(SUMIF(生体情報モニタ!$C$30:$C$74,B101,生体情報モニタ!$K$30:$K$74)*((生体情報モニタ!$H$3-生体情報モニタ!$I$3)/生体情報モニタ!$H$3),0)</f>
        <v>0</v>
      </c>
      <c r="AC101" s="306">
        <f t="shared" si="19"/>
        <v>0</v>
      </c>
      <c r="AD101" s="305">
        <f>IFERROR(SUMIF(分娩監視装置!$C$30:$C$74,B101,分娩監視装置!$K$30:$K$74)*((分娩監視装置!$H$3-分娩監視装置!$I$3)/分娩監視装置!$H$3),0)</f>
        <v>0</v>
      </c>
      <c r="AE101" s="306">
        <f t="shared" si="34"/>
        <v>0</v>
      </c>
      <c r="AF101" s="305">
        <f>IFERROR(SUMIF(新生児モニタ!$C$30:$C$74,B101,新生児モニタ!$K$30:$K$74)*((新生児モニタ!$H$3-新生児モニタ!$I$3)/新生児モニタ!$H$3),0)</f>
        <v>0</v>
      </c>
      <c r="AG101" s="306">
        <f t="shared" si="35"/>
        <v>0</v>
      </c>
    </row>
    <row r="102" spans="2:33">
      <c r="B102" s="283" t="s">
        <v>915</v>
      </c>
      <c r="C102" s="305">
        <f>IFERROR(SUMIF(初度設備!$C$30:$C$74,B102,初度設備!$K$30:$K$74)*((初度設備!$H$3-初度設備!$I$3)/初度設備!$H$3),0)</f>
        <v>0</v>
      </c>
      <c r="D102" s="306">
        <f t="shared" si="20"/>
        <v>0</v>
      </c>
      <c r="E102" s="305">
        <f>IFERROR(SUMIF(人工呼吸器!$C$30:$C$74,B102,人工呼吸器!$K$30:$K$74)*((人工呼吸器!$H$3-人工呼吸器!$I$3)/人工呼吸器!$H$3),0)</f>
        <v>0</v>
      </c>
      <c r="F102" s="306">
        <f t="shared" si="21"/>
        <v>0</v>
      </c>
      <c r="G102" s="306">
        <f t="shared" si="22"/>
        <v>0</v>
      </c>
      <c r="H102" s="306">
        <f t="shared" si="23"/>
        <v>0</v>
      </c>
      <c r="I102" s="305">
        <f>IFERROR(SUMIF(簡易陰圧装置!$C$30:$C$74,B102,簡易陰圧装置!$K$30:$K$74)*((簡易陰圧装置!$H$3-簡易陰圧装置!$I$3)/簡易陰圧装置!$H$3),0)</f>
        <v>0</v>
      </c>
      <c r="J102" s="306">
        <f t="shared" si="24"/>
        <v>0</v>
      </c>
      <c r="K102" s="305">
        <f>IFERROR(SUMIF(簡易ベッド!$C$30:$C$74,B102,簡易ベッド!$K$30:$K$74)*((簡易ベッド!$H$3-簡易ベッド!$I$3)/簡易ベッド!$H$3),0)</f>
        <v>0</v>
      </c>
      <c r="L102" s="306">
        <f t="shared" si="25"/>
        <v>0</v>
      </c>
      <c r="M102" s="305">
        <f>IFERROR(SUMIF(体外式膜型人工肺!$C$30:$C$74,B102,体外式膜型人工肺!$K$30:$K$74)*((体外式膜型人工肺!$H$3-体外式膜型人工肺!$I$3)/体外式膜型人工肺!$H$3),0)</f>
        <v>0</v>
      </c>
      <c r="N102" s="306">
        <f t="shared" si="26"/>
        <v>0</v>
      </c>
      <c r="O102" s="306">
        <f t="shared" si="27"/>
        <v>0</v>
      </c>
      <c r="P102" s="306">
        <f t="shared" si="28"/>
        <v>0</v>
      </c>
      <c r="Q102" s="305">
        <f>IFERROR(SUMIF(紫外線照射装置!$C$30:$C$74,B102,紫外線照射装置!$K$30:$K$74)*((紫外線照射装置!$H$3-紫外線照射装置!$I$3)/紫外線照射装置!$H$3),0)</f>
        <v>0</v>
      </c>
      <c r="R102" s="306">
        <f t="shared" si="29"/>
        <v>0</v>
      </c>
      <c r="S102" s="419">
        <f t="shared" si="30"/>
        <v>0</v>
      </c>
      <c r="T102" s="305">
        <f>IFERROR(SUMIF(超音波画像診断装置!$C$30:$C$74,B102,超音波画像診断装置!$K$30:$K$74)*((超音波画像診断装置!$H$3-超音波画像診断装置!$I$3)/超音波画像診断装置!$H$3),0)</f>
        <v>0</v>
      </c>
      <c r="U102" s="306">
        <f t="shared" si="31"/>
        <v>0</v>
      </c>
      <c r="V102" s="305">
        <f>IFERROR(SUMIF(血液浄化装置!$C$30:$C$74,B102,血液浄化装置!$K$30:$K$74)*((血液浄化装置!$H$3-血液浄化装置!$I$3)/血液浄化装置!$H$3),0)</f>
        <v>0</v>
      </c>
      <c r="W102" s="306">
        <f t="shared" si="32"/>
        <v>0</v>
      </c>
      <c r="X102" s="305">
        <f>IFERROR(SUMIF(気管支鏡!$C$30:$C$74,B102,気管支鏡!$K$30:$K$74)*((気管支鏡!$H$3-気管支鏡!$I$3)/気管支鏡!$H$3),0)</f>
        <v>0</v>
      </c>
      <c r="Y102" s="306">
        <f t="shared" si="18"/>
        <v>0</v>
      </c>
      <c r="Z102" s="305">
        <f>IFERROR(SUMIF(CT撮影装置!$C$30:$C$74,B102,CT撮影装置!$K$30:$K$74)*((CT撮影装置!$H$3-CT撮影装置!$I$3)/CT撮影装置!$H$3),0)</f>
        <v>0</v>
      </c>
      <c r="AA102" s="306">
        <f t="shared" si="33"/>
        <v>0</v>
      </c>
      <c r="AB102" s="305">
        <f>IFERROR(SUMIF(生体情報モニタ!$C$30:$C$74,B102,生体情報モニタ!$K$30:$K$74)*((生体情報モニタ!$H$3-生体情報モニタ!$I$3)/生体情報モニタ!$H$3),0)</f>
        <v>0</v>
      </c>
      <c r="AC102" s="306">
        <f t="shared" si="19"/>
        <v>0</v>
      </c>
      <c r="AD102" s="305">
        <f>IFERROR(SUMIF(分娩監視装置!$C$30:$C$74,B102,分娩監視装置!$K$30:$K$74)*((分娩監視装置!$H$3-分娩監視装置!$I$3)/分娩監視装置!$H$3),0)</f>
        <v>0</v>
      </c>
      <c r="AE102" s="306">
        <f t="shared" si="34"/>
        <v>0</v>
      </c>
      <c r="AF102" s="305">
        <f>IFERROR(SUMIF(新生児モニタ!$C$30:$C$74,B102,新生児モニタ!$K$30:$K$74)*((新生児モニタ!$H$3-新生児モニタ!$I$3)/新生児モニタ!$H$3),0)</f>
        <v>0</v>
      </c>
      <c r="AG102" s="306">
        <f t="shared" si="35"/>
        <v>0</v>
      </c>
    </row>
    <row r="103" spans="2:33">
      <c r="B103" s="283" t="s">
        <v>916</v>
      </c>
      <c r="C103" s="305">
        <f>IFERROR(SUMIF(初度設備!$C$30:$C$74,B103,初度設備!$K$30:$K$74)*((初度設備!$H$3-初度設備!$I$3)/初度設備!$H$3),0)</f>
        <v>0</v>
      </c>
      <c r="D103" s="306">
        <f t="shared" si="20"/>
        <v>0</v>
      </c>
      <c r="E103" s="305">
        <f>IFERROR(SUMIF(人工呼吸器!$C$30:$C$74,B103,人工呼吸器!$K$30:$K$74)*((人工呼吸器!$H$3-人工呼吸器!$I$3)/人工呼吸器!$H$3),0)</f>
        <v>0</v>
      </c>
      <c r="F103" s="306">
        <f t="shared" si="21"/>
        <v>0</v>
      </c>
      <c r="G103" s="306">
        <f t="shared" si="22"/>
        <v>0</v>
      </c>
      <c r="H103" s="306">
        <f t="shared" si="23"/>
        <v>0</v>
      </c>
      <c r="I103" s="305">
        <f>IFERROR(SUMIF(簡易陰圧装置!$C$30:$C$74,B103,簡易陰圧装置!$K$30:$K$74)*((簡易陰圧装置!$H$3-簡易陰圧装置!$I$3)/簡易陰圧装置!$H$3),0)</f>
        <v>0</v>
      </c>
      <c r="J103" s="306">
        <f t="shared" si="24"/>
        <v>0</v>
      </c>
      <c r="K103" s="305">
        <f>IFERROR(SUMIF(簡易ベッド!$C$30:$C$74,B103,簡易ベッド!$K$30:$K$74)*((簡易ベッド!$H$3-簡易ベッド!$I$3)/簡易ベッド!$H$3),0)</f>
        <v>0</v>
      </c>
      <c r="L103" s="306">
        <f t="shared" si="25"/>
        <v>0</v>
      </c>
      <c r="M103" s="305">
        <f>IFERROR(SUMIF(体外式膜型人工肺!$C$30:$C$74,B103,体外式膜型人工肺!$K$30:$K$74)*((体外式膜型人工肺!$H$3-体外式膜型人工肺!$I$3)/体外式膜型人工肺!$H$3),0)</f>
        <v>0</v>
      </c>
      <c r="N103" s="306">
        <f t="shared" si="26"/>
        <v>0</v>
      </c>
      <c r="O103" s="306">
        <f t="shared" si="27"/>
        <v>0</v>
      </c>
      <c r="P103" s="306">
        <f t="shared" si="28"/>
        <v>0</v>
      </c>
      <c r="Q103" s="305">
        <f>IFERROR(SUMIF(紫外線照射装置!$C$30:$C$74,B103,紫外線照射装置!$K$30:$K$74)*((紫外線照射装置!$H$3-紫外線照射装置!$I$3)/紫外線照射装置!$H$3),0)</f>
        <v>0</v>
      </c>
      <c r="R103" s="306">
        <f t="shared" si="29"/>
        <v>0</v>
      </c>
      <c r="S103" s="419">
        <f t="shared" si="30"/>
        <v>0</v>
      </c>
      <c r="T103" s="305">
        <f>IFERROR(SUMIF(超音波画像診断装置!$C$30:$C$74,B103,超音波画像診断装置!$K$30:$K$74)*((超音波画像診断装置!$H$3-超音波画像診断装置!$I$3)/超音波画像診断装置!$H$3),0)</f>
        <v>0</v>
      </c>
      <c r="U103" s="306">
        <f t="shared" si="31"/>
        <v>0</v>
      </c>
      <c r="V103" s="305">
        <f>IFERROR(SUMIF(血液浄化装置!$C$30:$C$74,B103,血液浄化装置!$K$30:$K$74)*((血液浄化装置!$H$3-血液浄化装置!$I$3)/血液浄化装置!$H$3),0)</f>
        <v>0</v>
      </c>
      <c r="W103" s="306">
        <f t="shared" si="32"/>
        <v>0</v>
      </c>
      <c r="X103" s="305">
        <f>IFERROR(SUMIF(気管支鏡!$C$30:$C$74,B103,気管支鏡!$K$30:$K$74)*((気管支鏡!$H$3-気管支鏡!$I$3)/気管支鏡!$H$3),0)</f>
        <v>0</v>
      </c>
      <c r="Y103" s="306">
        <f t="shared" si="18"/>
        <v>0</v>
      </c>
      <c r="Z103" s="305">
        <f>IFERROR(SUMIF(CT撮影装置!$C$30:$C$74,B103,CT撮影装置!$K$30:$K$74)*((CT撮影装置!$H$3-CT撮影装置!$I$3)/CT撮影装置!$H$3),0)</f>
        <v>0</v>
      </c>
      <c r="AA103" s="306">
        <f t="shared" si="33"/>
        <v>0</v>
      </c>
      <c r="AB103" s="305">
        <f>IFERROR(SUMIF(生体情報モニタ!$C$30:$C$74,B103,生体情報モニタ!$K$30:$K$74)*((生体情報モニタ!$H$3-生体情報モニタ!$I$3)/生体情報モニタ!$H$3),0)</f>
        <v>0</v>
      </c>
      <c r="AC103" s="306">
        <f t="shared" si="19"/>
        <v>0</v>
      </c>
      <c r="AD103" s="305">
        <f>IFERROR(SUMIF(分娩監視装置!$C$30:$C$74,B103,分娩監視装置!$K$30:$K$74)*((分娩監視装置!$H$3-分娩監視装置!$I$3)/分娩監視装置!$H$3),0)</f>
        <v>0</v>
      </c>
      <c r="AE103" s="306">
        <f t="shared" si="34"/>
        <v>0</v>
      </c>
      <c r="AF103" s="305">
        <f>IFERROR(SUMIF(新生児モニタ!$C$30:$C$74,B103,新生児モニタ!$K$30:$K$74)*((新生児モニタ!$H$3-新生児モニタ!$I$3)/新生児モニタ!$H$3),0)</f>
        <v>0</v>
      </c>
      <c r="AG103" s="306">
        <f t="shared" si="35"/>
        <v>0</v>
      </c>
    </row>
    <row r="104" spans="2:33">
      <c r="B104" s="283" t="s">
        <v>917</v>
      </c>
      <c r="C104" s="305">
        <f>IFERROR(SUMIF(初度設備!$C$30:$C$74,B104,初度設備!$K$30:$K$74)*((初度設備!$H$3-初度設備!$I$3)/初度設備!$H$3),0)</f>
        <v>0</v>
      </c>
      <c r="D104" s="306">
        <f t="shared" si="20"/>
        <v>0</v>
      </c>
      <c r="E104" s="305">
        <f>IFERROR(SUMIF(人工呼吸器!$C$30:$C$74,B104,人工呼吸器!$K$30:$K$74)*((人工呼吸器!$H$3-人工呼吸器!$I$3)/人工呼吸器!$H$3),0)</f>
        <v>0</v>
      </c>
      <c r="F104" s="306">
        <f t="shared" si="21"/>
        <v>0</v>
      </c>
      <c r="G104" s="306">
        <f t="shared" si="22"/>
        <v>0</v>
      </c>
      <c r="H104" s="306">
        <f t="shared" si="23"/>
        <v>0</v>
      </c>
      <c r="I104" s="305">
        <f>IFERROR(SUMIF(簡易陰圧装置!$C$30:$C$74,B104,簡易陰圧装置!$K$30:$K$74)*((簡易陰圧装置!$H$3-簡易陰圧装置!$I$3)/簡易陰圧装置!$H$3),0)</f>
        <v>0</v>
      </c>
      <c r="J104" s="306">
        <f t="shared" si="24"/>
        <v>0</v>
      </c>
      <c r="K104" s="305">
        <f>IFERROR(SUMIF(簡易ベッド!$C$30:$C$74,B104,簡易ベッド!$K$30:$K$74)*((簡易ベッド!$H$3-簡易ベッド!$I$3)/簡易ベッド!$H$3),0)</f>
        <v>0</v>
      </c>
      <c r="L104" s="306">
        <f t="shared" si="25"/>
        <v>0</v>
      </c>
      <c r="M104" s="305">
        <f>IFERROR(SUMIF(体外式膜型人工肺!$C$30:$C$74,B104,体外式膜型人工肺!$K$30:$K$74)*((体外式膜型人工肺!$H$3-体外式膜型人工肺!$I$3)/体外式膜型人工肺!$H$3),0)</f>
        <v>0</v>
      </c>
      <c r="N104" s="306">
        <f t="shared" si="26"/>
        <v>0</v>
      </c>
      <c r="O104" s="306">
        <f t="shared" si="27"/>
        <v>0</v>
      </c>
      <c r="P104" s="306">
        <f t="shared" si="28"/>
        <v>0</v>
      </c>
      <c r="Q104" s="305">
        <f>IFERROR(SUMIF(紫外線照射装置!$C$30:$C$74,B104,紫外線照射装置!$K$30:$K$74)*((紫外線照射装置!$H$3-紫外線照射装置!$I$3)/紫外線照射装置!$H$3),0)</f>
        <v>0</v>
      </c>
      <c r="R104" s="306">
        <f t="shared" si="29"/>
        <v>0</v>
      </c>
      <c r="S104" s="419">
        <f t="shared" si="30"/>
        <v>0</v>
      </c>
      <c r="T104" s="305">
        <f>IFERROR(SUMIF(超音波画像診断装置!$C$30:$C$74,B104,超音波画像診断装置!$K$30:$K$74)*((超音波画像診断装置!$H$3-超音波画像診断装置!$I$3)/超音波画像診断装置!$H$3),0)</f>
        <v>0</v>
      </c>
      <c r="U104" s="306">
        <f t="shared" si="31"/>
        <v>0</v>
      </c>
      <c r="V104" s="305">
        <f>IFERROR(SUMIF(血液浄化装置!$C$30:$C$74,B104,血液浄化装置!$K$30:$K$74)*((血液浄化装置!$H$3-血液浄化装置!$I$3)/血液浄化装置!$H$3),0)</f>
        <v>0</v>
      </c>
      <c r="W104" s="306">
        <f t="shared" si="32"/>
        <v>0</v>
      </c>
      <c r="X104" s="305">
        <f>IFERROR(SUMIF(気管支鏡!$C$30:$C$74,B104,気管支鏡!$K$30:$K$74)*((気管支鏡!$H$3-気管支鏡!$I$3)/気管支鏡!$H$3),0)</f>
        <v>0</v>
      </c>
      <c r="Y104" s="306">
        <f t="shared" si="18"/>
        <v>0</v>
      </c>
      <c r="Z104" s="305">
        <f>IFERROR(SUMIF(CT撮影装置!$C$30:$C$74,B104,CT撮影装置!$K$30:$K$74)*((CT撮影装置!$H$3-CT撮影装置!$I$3)/CT撮影装置!$H$3),0)</f>
        <v>0</v>
      </c>
      <c r="AA104" s="306">
        <f t="shared" si="33"/>
        <v>0</v>
      </c>
      <c r="AB104" s="305">
        <f>IFERROR(SUMIF(生体情報モニタ!$C$30:$C$74,B104,生体情報モニタ!$K$30:$K$74)*((生体情報モニタ!$H$3-生体情報モニタ!$I$3)/生体情報モニタ!$H$3),0)</f>
        <v>0</v>
      </c>
      <c r="AC104" s="306">
        <f t="shared" si="19"/>
        <v>0</v>
      </c>
      <c r="AD104" s="305">
        <f>IFERROR(SUMIF(分娩監視装置!$C$30:$C$74,B104,分娩監視装置!$K$30:$K$74)*((分娩監視装置!$H$3-分娩監視装置!$I$3)/分娩監視装置!$H$3),0)</f>
        <v>0</v>
      </c>
      <c r="AE104" s="306">
        <f t="shared" si="34"/>
        <v>0</v>
      </c>
      <c r="AF104" s="305">
        <f>IFERROR(SUMIF(新生児モニタ!$C$30:$C$74,B104,新生児モニタ!$K$30:$K$74)*((新生児モニタ!$H$3-新生児モニタ!$I$3)/新生児モニタ!$H$3),0)</f>
        <v>0</v>
      </c>
      <c r="AG104" s="306">
        <f t="shared" si="35"/>
        <v>0</v>
      </c>
    </row>
    <row r="105" spans="2:33">
      <c r="B105" s="283" t="s">
        <v>918</v>
      </c>
      <c r="C105" s="305">
        <f>IFERROR(SUMIF(初度設備!$C$30:$C$74,B105,初度設備!$K$30:$K$74)*((初度設備!$H$3-初度設備!$I$3)/初度設備!$H$3),0)</f>
        <v>0</v>
      </c>
      <c r="D105" s="306">
        <f t="shared" si="20"/>
        <v>0</v>
      </c>
      <c r="E105" s="305">
        <f>IFERROR(SUMIF(人工呼吸器!$C$30:$C$74,B105,人工呼吸器!$K$30:$K$74)*((人工呼吸器!$H$3-人工呼吸器!$I$3)/人工呼吸器!$H$3),0)</f>
        <v>0</v>
      </c>
      <c r="F105" s="306">
        <f t="shared" si="21"/>
        <v>0</v>
      </c>
      <c r="G105" s="306">
        <f t="shared" si="22"/>
        <v>0</v>
      </c>
      <c r="H105" s="306">
        <f t="shared" si="23"/>
        <v>0</v>
      </c>
      <c r="I105" s="305">
        <f>IFERROR(SUMIF(簡易陰圧装置!$C$30:$C$74,B105,簡易陰圧装置!$K$30:$K$74)*((簡易陰圧装置!$H$3-簡易陰圧装置!$I$3)/簡易陰圧装置!$H$3),0)</f>
        <v>0</v>
      </c>
      <c r="J105" s="306">
        <f t="shared" si="24"/>
        <v>0</v>
      </c>
      <c r="K105" s="305">
        <f>IFERROR(SUMIF(簡易ベッド!$C$30:$C$74,B105,簡易ベッド!$K$30:$K$74)*((簡易ベッド!$H$3-簡易ベッド!$I$3)/簡易ベッド!$H$3),0)</f>
        <v>0</v>
      </c>
      <c r="L105" s="306">
        <f t="shared" si="25"/>
        <v>0</v>
      </c>
      <c r="M105" s="305">
        <f>IFERROR(SUMIF(体外式膜型人工肺!$C$30:$C$74,B105,体外式膜型人工肺!$K$30:$K$74)*((体外式膜型人工肺!$H$3-体外式膜型人工肺!$I$3)/体外式膜型人工肺!$H$3),0)</f>
        <v>0</v>
      </c>
      <c r="N105" s="306">
        <f t="shared" si="26"/>
        <v>0</v>
      </c>
      <c r="O105" s="306">
        <f t="shared" si="27"/>
        <v>0</v>
      </c>
      <c r="P105" s="306">
        <f t="shared" si="28"/>
        <v>0</v>
      </c>
      <c r="Q105" s="305">
        <f>IFERROR(SUMIF(紫外線照射装置!$C$30:$C$74,B105,紫外線照射装置!$K$30:$K$74)*((紫外線照射装置!$H$3-紫外線照射装置!$I$3)/紫外線照射装置!$H$3),0)</f>
        <v>0</v>
      </c>
      <c r="R105" s="306">
        <f t="shared" si="29"/>
        <v>0</v>
      </c>
      <c r="S105" s="419">
        <f t="shared" si="30"/>
        <v>0</v>
      </c>
      <c r="T105" s="305">
        <f>IFERROR(SUMIF(超音波画像診断装置!$C$30:$C$74,B105,超音波画像診断装置!$K$30:$K$74)*((超音波画像診断装置!$H$3-超音波画像診断装置!$I$3)/超音波画像診断装置!$H$3),0)</f>
        <v>0</v>
      </c>
      <c r="U105" s="306">
        <f t="shared" si="31"/>
        <v>0</v>
      </c>
      <c r="V105" s="305">
        <f>IFERROR(SUMIF(血液浄化装置!$C$30:$C$74,B105,血液浄化装置!$K$30:$K$74)*((血液浄化装置!$H$3-血液浄化装置!$I$3)/血液浄化装置!$H$3),0)</f>
        <v>0</v>
      </c>
      <c r="W105" s="306">
        <f t="shared" si="32"/>
        <v>0</v>
      </c>
      <c r="X105" s="305">
        <f>IFERROR(SUMIF(気管支鏡!$C$30:$C$74,B105,気管支鏡!$K$30:$K$74)*((気管支鏡!$H$3-気管支鏡!$I$3)/気管支鏡!$H$3),0)</f>
        <v>0</v>
      </c>
      <c r="Y105" s="306">
        <f t="shared" si="18"/>
        <v>0</v>
      </c>
      <c r="Z105" s="305">
        <f>IFERROR(SUMIF(CT撮影装置!$C$30:$C$74,B105,CT撮影装置!$K$30:$K$74)*((CT撮影装置!$H$3-CT撮影装置!$I$3)/CT撮影装置!$H$3),0)</f>
        <v>0</v>
      </c>
      <c r="AA105" s="306">
        <f t="shared" si="33"/>
        <v>0</v>
      </c>
      <c r="AB105" s="305">
        <f>IFERROR(SUMIF(生体情報モニタ!$C$30:$C$74,B105,生体情報モニタ!$K$30:$K$74)*((生体情報モニタ!$H$3-生体情報モニタ!$I$3)/生体情報モニタ!$H$3),0)</f>
        <v>0</v>
      </c>
      <c r="AC105" s="306">
        <f t="shared" si="19"/>
        <v>0</v>
      </c>
      <c r="AD105" s="305">
        <f>IFERROR(SUMIF(分娩監視装置!$C$30:$C$74,B105,分娩監視装置!$K$30:$K$74)*((分娩監視装置!$H$3-分娩監視装置!$I$3)/分娩監視装置!$H$3),0)</f>
        <v>0</v>
      </c>
      <c r="AE105" s="306">
        <f t="shared" si="34"/>
        <v>0</v>
      </c>
      <c r="AF105" s="305">
        <f>IFERROR(SUMIF(新生児モニタ!$C$30:$C$74,B105,新生児モニタ!$K$30:$K$74)*((新生児モニタ!$H$3-新生児モニタ!$I$3)/新生児モニタ!$H$3),0)</f>
        <v>0</v>
      </c>
      <c r="AG105" s="306">
        <f t="shared" si="35"/>
        <v>0</v>
      </c>
    </row>
    <row r="106" spans="2:33">
      <c r="B106" s="283" t="s">
        <v>919</v>
      </c>
      <c r="C106" s="305">
        <f>IFERROR(SUMIF(初度設備!$C$30:$C$74,B106,初度設備!$K$30:$K$74)*((初度設備!$H$3-初度設備!$I$3)/初度設備!$H$3),0)</f>
        <v>0</v>
      </c>
      <c r="D106" s="306">
        <f t="shared" si="20"/>
        <v>0</v>
      </c>
      <c r="E106" s="305">
        <f>IFERROR(SUMIF(人工呼吸器!$C$30:$C$74,B106,人工呼吸器!$K$30:$K$74)*((人工呼吸器!$H$3-人工呼吸器!$I$3)/人工呼吸器!$H$3),0)</f>
        <v>0</v>
      </c>
      <c r="F106" s="306">
        <f t="shared" si="21"/>
        <v>0</v>
      </c>
      <c r="G106" s="306">
        <f t="shared" si="22"/>
        <v>0</v>
      </c>
      <c r="H106" s="306">
        <f t="shared" si="23"/>
        <v>0</v>
      </c>
      <c r="I106" s="305">
        <f>IFERROR(SUMIF(簡易陰圧装置!$C$30:$C$74,B106,簡易陰圧装置!$K$30:$K$74)*((簡易陰圧装置!$H$3-簡易陰圧装置!$I$3)/簡易陰圧装置!$H$3),0)</f>
        <v>0</v>
      </c>
      <c r="J106" s="306">
        <f t="shared" si="24"/>
        <v>0</v>
      </c>
      <c r="K106" s="305">
        <f>IFERROR(SUMIF(簡易ベッド!$C$30:$C$74,B106,簡易ベッド!$K$30:$K$74)*((簡易ベッド!$H$3-簡易ベッド!$I$3)/簡易ベッド!$H$3),0)</f>
        <v>0</v>
      </c>
      <c r="L106" s="306">
        <f t="shared" si="25"/>
        <v>0</v>
      </c>
      <c r="M106" s="305">
        <f>IFERROR(SUMIF(体外式膜型人工肺!$C$30:$C$74,B106,体外式膜型人工肺!$K$30:$K$74)*((体外式膜型人工肺!$H$3-体外式膜型人工肺!$I$3)/体外式膜型人工肺!$H$3),0)</f>
        <v>0</v>
      </c>
      <c r="N106" s="306">
        <f t="shared" si="26"/>
        <v>0</v>
      </c>
      <c r="O106" s="306">
        <f t="shared" si="27"/>
        <v>0</v>
      </c>
      <c r="P106" s="306">
        <f t="shared" si="28"/>
        <v>0</v>
      </c>
      <c r="Q106" s="305">
        <f>IFERROR(SUMIF(紫外線照射装置!$C$30:$C$74,B106,紫外線照射装置!$K$30:$K$74)*((紫外線照射装置!$H$3-紫外線照射装置!$I$3)/紫外線照射装置!$H$3),0)</f>
        <v>0</v>
      </c>
      <c r="R106" s="306">
        <f t="shared" si="29"/>
        <v>0</v>
      </c>
      <c r="S106" s="419">
        <f t="shared" si="30"/>
        <v>0</v>
      </c>
      <c r="T106" s="305">
        <f>IFERROR(SUMIF(超音波画像診断装置!$C$30:$C$74,B106,超音波画像診断装置!$K$30:$K$74)*((超音波画像診断装置!$H$3-超音波画像診断装置!$I$3)/超音波画像診断装置!$H$3),0)</f>
        <v>0</v>
      </c>
      <c r="U106" s="306">
        <f t="shared" si="31"/>
        <v>0</v>
      </c>
      <c r="V106" s="305">
        <f>IFERROR(SUMIF(血液浄化装置!$C$30:$C$74,B106,血液浄化装置!$K$30:$K$74)*((血液浄化装置!$H$3-血液浄化装置!$I$3)/血液浄化装置!$H$3),0)</f>
        <v>0</v>
      </c>
      <c r="W106" s="306">
        <f t="shared" si="32"/>
        <v>0</v>
      </c>
      <c r="X106" s="305">
        <f>IFERROR(SUMIF(気管支鏡!$C$30:$C$74,B106,気管支鏡!$K$30:$K$74)*((気管支鏡!$H$3-気管支鏡!$I$3)/気管支鏡!$H$3),0)</f>
        <v>0</v>
      </c>
      <c r="Y106" s="306">
        <f t="shared" si="18"/>
        <v>0</v>
      </c>
      <c r="Z106" s="305">
        <f>IFERROR(SUMIF(CT撮影装置!$C$30:$C$74,B106,CT撮影装置!$K$30:$K$74)*((CT撮影装置!$H$3-CT撮影装置!$I$3)/CT撮影装置!$H$3),0)</f>
        <v>0</v>
      </c>
      <c r="AA106" s="306">
        <f t="shared" si="33"/>
        <v>0</v>
      </c>
      <c r="AB106" s="305">
        <f>IFERROR(SUMIF(生体情報モニタ!$C$30:$C$74,B106,生体情報モニタ!$K$30:$K$74)*((生体情報モニタ!$H$3-生体情報モニタ!$I$3)/生体情報モニタ!$H$3),0)</f>
        <v>0</v>
      </c>
      <c r="AC106" s="306">
        <f t="shared" si="19"/>
        <v>0</v>
      </c>
      <c r="AD106" s="305">
        <f>IFERROR(SUMIF(分娩監視装置!$C$30:$C$74,B106,分娩監視装置!$K$30:$K$74)*((分娩監視装置!$H$3-分娩監視装置!$I$3)/分娩監視装置!$H$3),0)</f>
        <v>0</v>
      </c>
      <c r="AE106" s="306">
        <f t="shared" si="34"/>
        <v>0</v>
      </c>
      <c r="AF106" s="305">
        <f>IFERROR(SUMIF(新生児モニタ!$C$30:$C$74,B106,新生児モニタ!$K$30:$K$74)*((新生児モニタ!$H$3-新生児モニタ!$I$3)/新生児モニタ!$H$3),0)</f>
        <v>0</v>
      </c>
      <c r="AG106" s="306">
        <f t="shared" si="35"/>
        <v>0</v>
      </c>
    </row>
    <row r="107" spans="2:33">
      <c r="B107" s="283" t="s">
        <v>920</v>
      </c>
      <c r="C107" s="305">
        <f>IFERROR(SUMIF(初度設備!$C$30:$C$74,B107,初度設備!$K$30:$K$74)*((初度設備!$H$3-初度設備!$I$3)/初度設備!$H$3),0)</f>
        <v>0</v>
      </c>
      <c r="D107" s="306">
        <f t="shared" si="20"/>
        <v>0</v>
      </c>
      <c r="E107" s="305">
        <f>IFERROR(SUMIF(人工呼吸器!$C$30:$C$74,B107,人工呼吸器!$K$30:$K$74)*((人工呼吸器!$H$3-人工呼吸器!$I$3)/人工呼吸器!$H$3),0)</f>
        <v>0</v>
      </c>
      <c r="F107" s="306">
        <f t="shared" si="21"/>
        <v>0</v>
      </c>
      <c r="G107" s="306">
        <f t="shared" si="22"/>
        <v>0</v>
      </c>
      <c r="H107" s="306">
        <f t="shared" si="23"/>
        <v>0</v>
      </c>
      <c r="I107" s="305">
        <f>IFERROR(SUMIF(簡易陰圧装置!$C$30:$C$74,B107,簡易陰圧装置!$K$30:$K$74)*((簡易陰圧装置!$H$3-簡易陰圧装置!$I$3)/簡易陰圧装置!$H$3),0)</f>
        <v>0</v>
      </c>
      <c r="J107" s="306">
        <f t="shared" si="24"/>
        <v>0</v>
      </c>
      <c r="K107" s="305">
        <f>IFERROR(SUMIF(簡易ベッド!$C$30:$C$74,B107,簡易ベッド!$K$30:$K$74)*((簡易ベッド!$H$3-簡易ベッド!$I$3)/簡易ベッド!$H$3),0)</f>
        <v>0</v>
      </c>
      <c r="L107" s="306">
        <f t="shared" si="25"/>
        <v>0</v>
      </c>
      <c r="M107" s="305">
        <f>IFERROR(SUMIF(体外式膜型人工肺!$C$30:$C$74,B107,体外式膜型人工肺!$K$30:$K$74)*((体外式膜型人工肺!$H$3-体外式膜型人工肺!$I$3)/体外式膜型人工肺!$H$3),0)</f>
        <v>0</v>
      </c>
      <c r="N107" s="306">
        <f t="shared" si="26"/>
        <v>0</v>
      </c>
      <c r="O107" s="306">
        <f t="shared" si="27"/>
        <v>0</v>
      </c>
      <c r="P107" s="306">
        <f t="shared" si="28"/>
        <v>0</v>
      </c>
      <c r="Q107" s="305">
        <f>IFERROR(SUMIF(紫外線照射装置!$C$30:$C$74,B107,紫外線照射装置!$K$30:$K$74)*((紫外線照射装置!$H$3-紫外線照射装置!$I$3)/紫外線照射装置!$H$3),0)</f>
        <v>0</v>
      </c>
      <c r="R107" s="306">
        <f t="shared" si="29"/>
        <v>0</v>
      </c>
      <c r="S107" s="419">
        <f t="shared" si="30"/>
        <v>0</v>
      </c>
      <c r="T107" s="305">
        <f>IFERROR(SUMIF(超音波画像診断装置!$C$30:$C$74,B107,超音波画像診断装置!$K$30:$K$74)*((超音波画像診断装置!$H$3-超音波画像診断装置!$I$3)/超音波画像診断装置!$H$3),0)</f>
        <v>0</v>
      </c>
      <c r="U107" s="306">
        <f t="shared" si="31"/>
        <v>0</v>
      </c>
      <c r="V107" s="305">
        <f>IFERROR(SUMIF(血液浄化装置!$C$30:$C$74,B107,血液浄化装置!$K$30:$K$74)*((血液浄化装置!$H$3-血液浄化装置!$I$3)/血液浄化装置!$H$3),0)</f>
        <v>0</v>
      </c>
      <c r="W107" s="306">
        <f t="shared" si="32"/>
        <v>0</v>
      </c>
      <c r="X107" s="305">
        <f>IFERROR(SUMIF(気管支鏡!$C$30:$C$74,B107,気管支鏡!$K$30:$K$74)*((気管支鏡!$H$3-気管支鏡!$I$3)/気管支鏡!$H$3),0)</f>
        <v>0</v>
      </c>
      <c r="Y107" s="306">
        <f t="shared" si="18"/>
        <v>0</v>
      </c>
      <c r="Z107" s="305">
        <f>IFERROR(SUMIF(CT撮影装置!$C$30:$C$74,B107,CT撮影装置!$K$30:$K$74)*((CT撮影装置!$H$3-CT撮影装置!$I$3)/CT撮影装置!$H$3),0)</f>
        <v>0</v>
      </c>
      <c r="AA107" s="306">
        <f t="shared" si="33"/>
        <v>0</v>
      </c>
      <c r="AB107" s="305">
        <f>IFERROR(SUMIF(生体情報モニタ!$C$30:$C$74,B107,生体情報モニタ!$K$30:$K$74)*((生体情報モニタ!$H$3-生体情報モニタ!$I$3)/生体情報モニタ!$H$3),0)</f>
        <v>0</v>
      </c>
      <c r="AC107" s="306">
        <f t="shared" si="19"/>
        <v>0</v>
      </c>
      <c r="AD107" s="305">
        <f>IFERROR(SUMIF(分娩監視装置!$C$30:$C$74,B107,分娩監視装置!$K$30:$K$74)*((分娩監視装置!$H$3-分娩監視装置!$I$3)/分娩監視装置!$H$3),0)</f>
        <v>0</v>
      </c>
      <c r="AE107" s="306">
        <f t="shared" si="34"/>
        <v>0</v>
      </c>
      <c r="AF107" s="305">
        <f>IFERROR(SUMIF(新生児モニタ!$C$30:$C$74,B107,新生児モニタ!$K$30:$K$74)*((新生児モニタ!$H$3-新生児モニタ!$I$3)/新生児モニタ!$H$3),0)</f>
        <v>0</v>
      </c>
      <c r="AG107" s="306">
        <f t="shared" si="35"/>
        <v>0</v>
      </c>
    </row>
    <row r="108" spans="2:33">
      <c r="B108" s="283" t="s">
        <v>921</v>
      </c>
      <c r="C108" s="305">
        <f>IFERROR(SUMIF(初度設備!$C$30:$C$74,B108,初度設備!$K$30:$K$74)*((初度設備!$H$3-初度設備!$I$3)/初度設備!$H$3),0)</f>
        <v>0</v>
      </c>
      <c r="D108" s="306">
        <f t="shared" si="20"/>
        <v>0</v>
      </c>
      <c r="E108" s="305">
        <f>IFERROR(SUMIF(人工呼吸器!$C$30:$C$74,B108,人工呼吸器!$K$30:$K$74)*((人工呼吸器!$H$3-人工呼吸器!$I$3)/人工呼吸器!$H$3),0)</f>
        <v>0</v>
      </c>
      <c r="F108" s="306">
        <f t="shared" si="21"/>
        <v>0</v>
      </c>
      <c r="G108" s="306">
        <f t="shared" si="22"/>
        <v>0</v>
      </c>
      <c r="H108" s="306">
        <f t="shared" si="23"/>
        <v>0</v>
      </c>
      <c r="I108" s="305">
        <f>IFERROR(SUMIF(簡易陰圧装置!$C$30:$C$74,B108,簡易陰圧装置!$K$30:$K$74)*((簡易陰圧装置!$H$3-簡易陰圧装置!$I$3)/簡易陰圧装置!$H$3),0)</f>
        <v>0</v>
      </c>
      <c r="J108" s="306">
        <f t="shared" si="24"/>
        <v>0</v>
      </c>
      <c r="K108" s="305">
        <f>IFERROR(SUMIF(簡易ベッド!$C$30:$C$74,B108,簡易ベッド!$K$30:$K$74)*((簡易ベッド!$H$3-簡易ベッド!$I$3)/簡易ベッド!$H$3),0)</f>
        <v>0</v>
      </c>
      <c r="L108" s="306">
        <f t="shared" si="25"/>
        <v>0</v>
      </c>
      <c r="M108" s="305">
        <f>IFERROR(SUMIF(体外式膜型人工肺!$C$30:$C$74,B108,体外式膜型人工肺!$K$30:$K$74)*((体外式膜型人工肺!$H$3-体外式膜型人工肺!$I$3)/体外式膜型人工肺!$H$3),0)</f>
        <v>0</v>
      </c>
      <c r="N108" s="306">
        <f t="shared" si="26"/>
        <v>0</v>
      </c>
      <c r="O108" s="306">
        <f t="shared" si="27"/>
        <v>0</v>
      </c>
      <c r="P108" s="306">
        <f t="shared" si="28"/>
        <v>0</v>
      </c>
      <c r="Q108" s="305">
        <f>IFERROR(SUMIF(紫外線照射装置!$C$30:$C$74,B108,紫外線照射装置!$K$30:$K$74)*((紫外線照射装置!$H$3-紫外線照射装置!$I$3)/紫外線照射装置!$H$3),0)</f>
        <v>0</v>
      </c>
      <c r="R108" s="306">
        <f t="shared" si="29"/>
        <v>0</v>
      </c>
      <c r="S108" s="419">
        <f t="shared" si="30"/>
        <v>0</v>
      </c>
      <c r="T108" s="305">
        <f>IFERROR(SUMIF(超音波画像診断装置!$C$30:$C$74,B108,超音波画像診断装置!$K$30:$K$74)*((超音波画像診断装置!$H$3-超音波画像診断装置!$I$3)/超音波画像診断装置!$H$3),0)</f>
        <v>0</v>
      </c>
      <c r="U108" s="306">
        <f t="shared" si="31"/>
        <v>0</v>
      </c>
      <c r="V108" s="305">
        <f>IFERROR(SUMIF(血液浄化装置!$C$30:$C$74,B108,血液浄化装置!$K$30:$K$74)*((血液浄化装置!$H$3-血液浄化装置!$I$3)/血液浄化装置!$H$3),0)</f>
        <v>0</v>
      </c>
      <c r="W108" s="306">
        <f t="shared" si="32"/>
        <v>0</v>
      </c>
      <c r="X108" s="305">
        <f>IFERROR(SUMIF(気管支鏡!$C$30:$C$74,B108,気管支鏡!$K$30:$K$74)*((気管支鏡!$H$3-気管支鏡!$I$3)/気管支鏡!$H$3),0)</f>
        <v>0</v>
      </c>
      <c r="Y108" s="306">
        <f t="shared" si="18"/>
        <v>0</v>
      </c>
      <c r="Z108" s="305">
        <f>IFERROR(SUMIF(CT撮影装置!$C$30:$C$74,B108,CT撮影装置!$K$30:$K$74)*((CT撮影装置!$H$3-CT撮影装置!$I$3)/CT撮影装置!$H$3),0)</f>
        <v>0</v>
      </c>
      <c r="AA108" s="306">
        <f t="shared" si="33"/>
        <v>0</v>
      </c>
      <c r="AB108" s="305">
        <f>IFERROR(SUMIF(生体情報モニタ!$C$30:$C$74,B108,生体情報モニタ!$K$30:$K$74)*((生体情報モニタ!$H$3-生体情報モニタ!$I$3)/生体情報モニタ!$H$3),0)</f>
        <v>0</v>
      </c>
      <c r="AC108" s="306">
        <f t="shared" si="19"/>
        <v>0</v>
      </c>
      <c r="AD108" s="305">
        <f>IFERROR(SUMIF(分娩監視装置!$C$30:$C$74,B108,分娩監視装置!$K$30:$K$74)*((分娩監視装置!$H$3-分娩監視装置!$I$3)/分娩監視装置!$H$3),0)</f>
        <v>0</v>
      </c>
      <c r="AE108" s="306">
        <f t="shared" si="34"/>
        <v>0</v>
      </c>
      <c r="AF108" s="305">
        <f>IFERROR(SUMIF(新生児モニタ!$C$30:$C$74,B108,新生児モニタ!$K$30:$K$74)*((新生児モニタ!$H$3-新生児モニタ!$I$3)/新生児モニタ!$H$3),0)</f>
        <v>0</v>
      </c>
      <c r="AG108" s="306">
        <f t="shared" si="35"/>
        <v>0</v>
      </c>
    </row>
    <row r="109" spans="2:33">
      <c r="B109" s="283" t="s">
        <v>922</v>
      </c>
      <c r="C109" s="305">
        <f>IFERROR(SUMIF(初度設備!$C$30:$C$74,B109,初度設備!$K$30:$K$74)*((初度設備!$H$3-初度設備!$I$3)/初度設備!$H$3),0)</f>
        <v>0</v>
      </c>
      <c r="D109" s="306">
        <f t="shared" si="20"/>
        <v>0</v>
      </c>
      <c r="E109" s="305">
        <f>IFERROR(SUMIF(人工呼吸器!$C$30:$C$74,B109,人工呼吸器!$K$30:$K$74)*((人工呼吸器!$H$3-人工呼吸器!$I$3)/人工呼吸器!$H$3),0)</f>
        <v>0</v>
      </c>
      <c r="F109" s="306">
        <f t="shared" si="21"/>
        <v>0</v>
      </c>
      <c r="G109" s="306">
        <f t="shared" si="22"/>
        <v>0</v>
      </c>
      <c r="H109" s="306">
        <f t="shared" si="23"/>
        <v>0</v>
      </c>
      <c r="I109" s="305">
        <f>IFERROR(SUMIF(簡易陰圧装置!$C$30:$C$74,B109,簡易陰圧装置!$K$30:$K$74)*((簡易陰圧装置!$H$3-簡易陰圧装置!$I$3)/簡易陰圧装置!$H$3),0)</f>
        <v>0</v>
      </c>
      <c r="J109" s="306">
        <f t="shared" si="24"/>
        <v>0</v>
      </c>
      <c r="K109" s="305">
        <f>IFERROR(SUMIF(簡易ベッド!$C$30:$C$74,B109,簡易ベッド!$K$30:$K$74)*((簡易ベッド!$H$3-簡易ベッド!$I$3)/簡易ベッド!$H$3),0)</f>
        <v>0</v>
      </c>
      <c r="L109" s="306">
        <f t="shared" si="25"/>
        <v>0</v>
      </c>
      <c r="M109" s="305">
        <f>IFERROR(SUMIF(体外式膜型人工肺!$C$30:$C$74,B109,体外式膜型人工肺!$K$30:$K$74)*((体外式膜型人工肺!$H$3-体外式膜型人工肺!$I$3)/体外式膜型人工肺!$H$3),0)</f>
        <v>0</v>
      </c>
      <c r="N109" s="306">
        <f t="shared" si="26"/>
        <v>0</v>
      </c>
      <c r="O109" s="306">
        <f t="shared" si="27"/>
        <v>0</v>
      </c>
      <c r="P109" s="306">
        <f t="shared" si="28"/>
        <v>0</v>
      </c>
      <c r="Q109" s="305">
        <f>IFERROR(SUMIF(紫外線照射装置!$C$30:$C$74,B109,紫外線照射装置!$K$30:$K$74)*((紫外線照射装置!$H$3-紫外線照射装置!$I$3)/紫外線照射装置!$H$3),0)</f>
        <v>0</v>
      </c>
      <c r="R109" s="306">
        <f t="shared" si="29"/>
        <v>0</v>
      </c>
      <c r="S109" s="419">
        <f t="shared" si="30"/>
        <v>0</v>
      </c>
      <c r="T109" s="305">
        <f>IFERROR(SUMIF(超音波画像診断装置!$C$30:$C$74,B109,超音波画像診断装置!$K$30:$K$74)*((超音波画像診断装置!$H$3-超音波画像診断装置!$I$3)/超音波画像診断装置!$H$3),0)</f>
        <v>0</v>
      </c>
      <c r="U109" s="306">
        <f t="shared" si="31"/>
        <v>0</v>
      </c>
      <c r="V109" s="305">
        <f>IFERROR(SUMIF(血液浄化装置!$C$30:$C$74,B109,血液浄化装置!$K$30:$K$74)*((血液浄化装置!$H$3-血液浄化装置!$I$3)/血液浄化装置!$H$3),0)</f>
        <v>0</v>
      </c>
      <c r="W109" s="306">
        <f t="shared" si="32"/>
        <v>0</v>
      </c>
      <c r="X109" s="305">
        <f>IFERROR(SUMIF(気管支鏡!$C$30:$C$74,B109,気管支鏡!$K$30:$K$74)*((気管支鏡!$H$3-気管支鏡!$I$3)/気管支鏡!$H$3),0)</f>
        <v>0</v>
      </c>
      <c r="Y109" s="306">
        <f t="shared" si="18"/>
        <v>0</v>
      </c>
      <c r="Z109" s="305">
        <f>IFERROR(SUMIF(CT撮影装置!$C$30:$C$74,B109,CT撮影装置!$K$30:$K$74)*((CT撮影装置!$H$3-CT撮影装置!$I$3)/CT撮影装置!$H$3),0)</f>
        <v>0</v>
      </c>
      <c r="AA109" s="306">
        <f t="shared" si="33"/>
        <v>0</v>
      </c>
      <c r="AB109" s="305">
        <f>IFERROR(SUMIF(生体情報モニタ!$C$30:$C$74,B109,生体情報モニタ!$K$30:$K$74)*((生体情報モニタ!$H$3-生体情報モニタ!$I$3)/生体情報モニタ!$H$3),0)</f>
        <v>0</v>
      </c>
      <c r="AC109" s="306">
        <f t="shared" si="19"/>
        <v>0</v>
      </c>
      <c r="AD109" s="305">
        <f>IFERROR(SUMIF(分娩監視装置!$C$30:$C$74,B109,分娩監視装置!$K$30:$K$74)*((分娩監視装置!$H$3-分娩監視装置!$I$3)/分娩監視装置!$H$3),0)</f>
        <v>0</v>
      </c>
      <c r="AE109" s="306">
        <f t="shared" si="34"/>
        <v>0</v>
      </c>
      <c r="AF109" s="305">
        <f>IFERROR(SUMIF(新生児モニタ!$C$30:$C$74,B109,新生児モニタ!$K$30:$K$74)*((新生児モニタ!$H$3-新生児モニタ!$I$3)/新生児モニタ!$H$3),0)</f>
        <v>0</v>
      </c>
      <c r="AG109" s="306">
        <f t="shared" si="35"/>
        <v>0</v>
      </c>
    </row>
    <row r="110" spans="2:33">
      <c r="B110" s="283" t="s">
        <v>923</v>
      </c>
      <c r="C110" s="305">
        <f>IFERROR(SUMIF(初度設備!$C$30:$C$74,B110,初度設備!$K$30:$K$74)*((初度設備!$H$3-初度設備!$I$3)/初度設備!$H$3),0)</f>
        <v>0</v>
      </c>
      <c r="D110" s="306">
        <f t="shared" si="20"/>
        <v>0</v>
      </c>
      <c r="E110" s="305">
        <f>IFERROR(SUMIF(人工呼吸器!$C$30:$C$74,B110,人工呼吸器!$K$30:$K$74)*((人工呼吸器!$H$3-人工呼吸器!$I$3)/人工呼吸器!$H$3),0)</f>
        <v>0</v>
      </c>
      <c r="F110" s="306">
        <f t="shared" si="21"/>
        <v>0</v>
      </c>
      <c r="G110" s="306">
        <f t="shared" si="22"/>
        <v>0</v>
      </c>
      <c r="H110" s="306">
        <f t="shared" si="23"/>
        <v>0</v>
      </c>
      <c r="I110" s="305">
        <f>IFERROR(SUMIF(簡易陰圧装置!$C$30:$C$74,B110,簡易陰圧装置!$K$30:$K$74)*((簡易陰圧装置!$H$3-簡易陰圧装置!$I$3)/簡易陰圧装置!$H$3),0)</f>
        <v>0</v>
      </c>
      <c r="J110" s="306">
        <f t="shared" si="24"/>
        <v>0</v>
      </c>
      <c r="K110" s="305">
        <f>IFERROR(SUMIF(簡易ベッド!$C$30:$C$74,B110,簡易ベッド!$K$30:$K$74)*((簡易ベッド!$H$3-簡易ベッド!$I$3)/簡易ベッド!$H$3),0)</f>
        <v>0</v>
      </c>
      <c r="L110" s="306">
        <f t="shared" si="25"/>
        <v>0</v>
      </c>
      <c r="M110" s="305">
        <f>IFERROR(SUMIF(体外式膜型人工肺!$C$30:$C$74,B110,体外式膜型人工肺!$K$30:$K$74)*((体外式膜型人工肺!$H$3-体外式膜型人工肺!$I$3)/体外式膜型人工肺!$H$3),0)</f>
        <v>0</v>
      </c>
      <c r="N110" s="306">
        <f t="shared" si="26"/>
        <v>0</v>
      </c>
      <c r="O110" s="306">
        <f t="shared" si="27"/>
        <v>0</v>
      </c>
      <c r="P110" s="306">
        <f t="shared" si="28"/>
        <v>0</v>
      </c>
      <c r="Q110" s="305">
        <f>IFERROR(SUMIF(紫外線照射装置!$C$30:$C$74,B110,紫外線照射装置!$K$30:$K$74)*((紫外線照射装置!$H$3-紫外線照射装置!$I$3)/紫外線照射装置!$H$3),0)</f>
        <v>0</v>
      </c>
      <c r="R110" s="306">
        <f t="shared" si="29"/>
        <v>0</v>
      </c>
      <c r="S110" s="419">
        <f t="shared" si="30"/>
        <v>0</v>
      </c>
      <c r="T110" s="305">
        <f>IFERROR(SUMIF(超音波画像診断装置!$C$30:$C$74,B110,超音波画像診断装置!$K$30:$K$74)*((超音波画像診断装置!$H$3-超音波画像診断装置!$I$3)/超音波画像診断装置!$H$3),0)</f>
        <v>0</v>
      </c>
      <c r="U110" s="306">
        <f t="shared" si="31"/>
        <v>0</v>
      </c>
      <c r="V110" s="305">
        <f>IFERROR(SUMIF(血液浄化装置!$C$30:$C$74,B110,血液浄化装置!$K$30:$K$74)*((血液浄化装置!$H$3-血液浄化装置!$I$3)/血液浄化装置!$H$3),0)</f>
        <v>0</v>
      </c>
      <c r="W110" s="306">
        <f t="shared" si="32"/>
        <v>0</v>
      </c>
      <c r="X110" s="305">
        <f>IFERROR(SUMIF(気管支鏡!$C$30:$C$74,B110,気管支鏡!$K$30:$K$74)*((気管支鏡!$H$3-気管支鏡!$I$3)/気管支鏡!$H$3),0)</f>
        <v>0</v>
      </c>
      <c r="Y110" s="306">
        <f t="shared" si="18"/>
        <v>0</v>
      </c>
      <c r="Z110" s="305">
        <f>IFERROR(SUMIF(CT撮影装置!$C$30:$C$74,B110,CT撮影装置!$K$30:$K$74)*((CT撮影装置!$H$3-CT撮影装置!$I$3)/CT撮影装置!$H$3),0)</f>
        <v>0</v>
      </c>
      <c r="AA110" s="306">
        <f t="shared" si="33"/>
        <v>0</v>
      </c>
      <c r="AB110" s="305">
        <f>IFERROR(SUMIF(生体情報モニタ!$C$30:$C$74,B110,生体情報モニタ!$K$30:$K$74)*((生体情報モニタ!$H$3-生体情報モニタ!$I$3)/生体情報モニタ!$H$3),0)</f>
        <v>0</v>
      </c>
      <c r="AC110" s="306">
        <f t="shared" si="19"/>
        <v>0</v>
      </c>
      <c r="AD110" s="305">
        <f>IFERROR(SUMIF(分娩監視装置!$C$30:$C$74,B110,分娩監視装置!$K$30:$K$74)*((分娩監視装置!$H$3-分娩監視装置!$I$3)/分娩監視装置!$H$3),0)</f>
        <v>0</v>
      </c>
      <c r="AE110" s="306">
        <f t="shared" si="34"/>
        <v>0</v>
      </c>
      <c r="AF110" s="305">
        <f>IFERROR(SUMIF(新生児モニタ!$C$30:$C$74,B110,新生児モニタ!$K$30:$K$74)*((新生児モニタ!$H$3-新生児モニタ!$I$3)/新生児モニタ!$H$3),0)</f>
        <v>0</v>
      </c>
      <c r="AG110" s="306">
        <f t="shared" si="35"/>
        <v>0</v>
      </c>
    </row>
    <row r="111" spans="2:33">
      <c r="B111" s="283" t="s">
        <v>924</v>
      </c>
      <c r="C111" s="305">
        <f>IFERROR(SUMIF(初度設備!$C$30:$C$74,B111,初度設備!$K$30:$K$74)*((初度設備!$H$3-初度設備!$I$3)/初度設備!$H$3),0)</f>
        <v>0</v>
      </c>
      <c r="D111" s="306">
        <f t="shared" si="20"/>
        <v>0</v>
      </c>
      <c r="E111" s="305">
        <f>IFERROR(SUMIF(人工呼吸器!$C$30:$C$74,B111,人工呼吸器!$K$30:$K$74)*((人工呼吸器!$H$3-人工呼吸器!$I$3)/人工呼吸器!$H$3),0)</f>
        <v>0</v>
      </c>
      <c r="F111" s="306">
        <f t="shared" si="21"/>
        <v>0</v>
      </c>
      <c r="G111" s="306">
        <f t="shared" si="22"/>
        <v>0</v>
      </c>
      <c r="H111" s="306">
        <f t="shared" si="23"/>
        <v>0</v>
      </c>
      <c r="I111" s="305">
        <f>IFERROR(SUMIF(簡易陰圧装置!$C$30:$C$74,B111,簡易陰圧装置!$K$30:$K$74)*((簡易陰圧装置!$H$3-簡易陰圧装置!$I$3)/簡易陰圧装置!$H$3),0)</f>
        <v>0</v>
      </c>
      <c r="J111" s="306">
        <f t="shared" si="24"/>
        <v>0</v>
      </c>
      <c r="K111" s="305">
        <f>IFERROR(SUMIF(簡易ベッド!$C$30:$C$74,B111,簡易ベッド!$K$30:$K$74)*((簡易ベッド!$H$3-簡易ベッド!$I$3)/簡易ベッド!$H$3),0)</f>
        <v>0</v>
      </c>
      <c r="L111" s="306">
        <f t="shared" si="25"/>
        <v>0</v>
      </c>
      <c r="M111" s="305">
        <f>IFERROR(SUMIF(体外式膜型人工肺!$C$30:$C$74,B111,体外式膜型人工肺!$K$30:$K$74)*((体外式膜型人工肺!$H$3-体外式膜型人工肺!$I$3)/体外式膜型人工肺!$H$3),0)</f>
        <v>0</v>
      </c>
      <c r="N111" s="306">
        <f t="shared" si="26"/>
        <v>0</v>
      </c>
      <c r="O111" s="306">
        <f t="shared" si="27"/>
        <v>0</v>
      </c>
      <c r="P111" s="306">
        <f t="shared" si="28"/>
        <v>0</v>
      </c>
      <c r="Q111" s="305">
        <f>IFERROR(SUMIF(紫外線照射装置!$C$30:$C$74,B111,紫外線照射装置!$K$30:$K$74)*((紫外線照射装置!$H$3-紫外線照射装置!$I$3)/紫外線照射装置!$H$3),0)</f>
        <v>0</v>
      </c>
      <c r="R111" s="306">
        <f t="shared" si="29"/>
        <v>0</v>
      </c>
      <c r="S111" s="419">
        <f t="shared" si="30"/>
        <v>0</v>
      </c>
      <c r="T111" s="305">
        <f>IFERROR(SUMIF(超音波画像診断装置!$C$30:$C$74,B111,超音波画像診断装置!$K$30:$K$74)*((超音波画像診断装置!$H$3-超音波画像診断装置!$I$3)/超音波画像診断装置!$H$3),0)</f>
        <v>0</v>
      </c>
      <c r="U111" s="306">
        <f t="shared" si="31"/>
        <v>0</v>
      </c>
      <c r="V111" s="305">
        <f>IFERROR(SUMIF(血液浄化装置!$C$30:$C$74,B111,血液浄化装置!$K$30:$K$74)*((血液浄化装置!$H$3-血液浄化装置!$I$3)/血液浄化装置!$H$3),0)</f>
        <v>0</v>
      </c>
      <c r="W111" s="306">
        <f t="shared" si="32"/>
        <v>0</v>
      </c>
      <c r="X111" s="305">
        <f>IFERROR(SUMIF(気管支鏡!$C$30:$C$74,B111,気管支鏡!$K$30:$K$74)*((気管支鏡!$H$3-気管支鏡!$I$3)/気管支鏡!$H$3),0)</f>
        <v>0</v>
      </c>
      <c r="Y111" s="306">
        <f t="shared" si="18"/>
        <v>0</v>
      </c>
      <c r="Z111" s="305">
        <f>IFERROR(SUMIF(CT撮影装置!$C$30:$C$74,B111,CT撮影装置!$K$30:$K$74)*((CT撮影装置!$H$3-CT撮影装置!$I$3)/CT撮影装置!$H$3),0)</f>
        <v>0</v>
      </c>
      <c r="AA111" s="306">
        <f t="shared" si="33"/>
        <v>0</v>
      </c>
      <c r="AB111" s="305">
        <f>IFERROR(SUMIF(生体情報モニタ!$C$30:$C$74,B111,生体情報モニタ!$K$30:$K$74)*((生体情報モニタ!$H$3-生体情報モニタ!$I$3)/生体情報モニタ!$H$3),0)</f>
        <v>0</v>
      </c>
      <c r="AC111" s="306">
        <f t="shared" si="19"/>
        <v>0</v>
      </c>
      <c r="AD111" s="305">
        <f>IFERROR(SUMIF(分娩監視装置!$C$30:$C$74,B111,分娩監視装置!$K$30:$K$74)*((分娩監視装置!$H$3-分娩監視装置!$I$3)/分娩監視装置!$H$3),0)</f>
        <v>0</v>
      </c>
      <c r="AE111" s="306">
        <f t="shared" si="34"/>
        <v>0</v>
      </c>
      <c r="AF111" s="305">
        <f>IFERROR(SUMIF(新生児モニタ!$C$30:$C$74,B111,新生児モニタ!$K$30:$K$74)*((新生児モニタ!$H$3-新生児モニタ!$I$3)/新生児モニタ!$H$3),0)</f>
        <v>0</v>
      </c>
      <c r="AG111" s="306">
        <f t="shared" si="35"/>
        <v>0</v>
      </c>
    </row>
    <row r="112" spans="2:33">
      <c r="B112" s="283" t="s">
        <v>925</v>
      </c>
      <c r="C112" s="305">
        <f>IFERROR(SUMIF(初度設備!$C$30:$C$74,B112,初度設備!$K$30:$K$74)*((初度設備!$H$3-初度設備!$I$3)/初度設備!$H$3),0)</f>
        <v>0</v>
      </c>
      <c r="D112" s="306">
        <f t="shared" si="20"/>
        <v>0</v>
      </c>
      <c r="E112" s="305">
        <f>IFERROR(SUMIF(人工呼吸器!$C$30:$C$74,B112,人工呼吸器!$K$30:$K$74)*((人工呼吸器!$H$3-人工呼吸器!$I$3)/人工呼吸器!$H$3),0)</f>
        <v>0</v>
      </c>
      <c r="F112" s="306">
        <f t="shared" si="21"/>
        <v>0</v>
      </c>
      <c r="G112" s="306">
        <f t="shared" si="22"/>
        <v>0</v>
      </c>
      <c r="H112" s="306">
        <f t="shared" si="23"/>
        <v>0</v>
      </c>
      <c r="I112" s="305">
        <f>IFERROR(SUMIF(簡易陰圧装置!$C$30:$C$74,B112,簡易陰圧装置!$K$30:$K$74)*((簡易陰圧装置!$H$3-簡易陰圧装置!$I$3)/簡易陰圧装置!$H$3),0)</f>
        <v>0</v>
      </c>
      <c r="J112" s="306">
        <f t="shared" si="24"/>
        <v>0</v>
      </c>
      <c r="K112" s="305">
        <f>IFERROR(SUMIF(簡易ベッド!$C$30:$C$74,B112,簡易ベッド!$K$30:$K$74)*((簡易ベッド!$H$3-簡易ベッド!$I$3)/簡易ベッド!$H$3),0)</f>
        <v>0</v>
      </c>
      <c r="L112" s="306">
        <f t="shared" si="25"/>
        <v>0</v>
      </c>
      <c r="M112" s="305">
        <f>IFERROR(SUMIF(体外式膜型人工肺!$C$30:$C$74,B112,体外式膜型人工肺!$K$30:$K$74)*((体外式膜型人工肺!$H$3-体外式膜型人工肺!$I$3)/体外式膜型人工肺!$H$3),0)</f>
        <v>0</v>
      </c>
      <c r="N112" s="306">
        <f t="shared" si="26"/>
        <v>0</v>
      </c>
      <c r="O112" s="306">
        <f t="shared" si="27"/>
        <v>0</v>
      </c>
      <c r="P112" s="306">
        <f t="shared" si="28"/>
        <v>0</v>
      </c>
      <c r="Q112" s="305">
        <f>IFERROR(SUMIF(紫外線照射装置!$C$30:$C$74,B112,紫外線照射装置!$K$30:$K$74)*((紫外線照射装置!$H$3-紫外線照射装置!$I$3)/紫外線照射装置!$H$3),0)</f>
        <v>0</v>
      </c>
      <c r="R112" s="306">
        <f t="shared" si="29"/>
        <v>0</v>
      </c>
      <c r="S112" s="419">
        <f t="shared" si="30"/>
        <v>0</v>
      </c>
      <c r="T112" s="305">
        <f>IFERROR(SUMIF(超音波画像診断装置!$C$30:$C$74,B112,超音波画像診断装置!$K$30:$K$74)*((超音波画像診断装置!$H$3-超音波画像診断装置!$I$3)/超音波画像診断装置!$H$3),0)</f>
        <v>0</v>
      </c>
      <c r="U112" s="306">
        <f t="shared" si="31"/>
        <v>0</v>
      </c>
      <c r="V112" s="305">
        <f>IFERROR(SUMIF(血液浄化装置!$C$30:$C$74,B112,血液浄化装置!$K$30:$K$74)*((血液浄化装置!$H$3-血液浄化装置!$I$3)/血液浄化装置!$H$3),0)</f>
        <v>0</v>
      </c>
      <c r="W112" s="306">
        <f t="shared" si="32"/>
        <v>0</v>
      </c>
      <c r="X112" s="305">
        <f>IFERROR(SUMIF(気管支鏡!$C$30:$C$74,B112,気管支鏡!$K$30:$K$74)*((気管支鏡!$H$3-気管支鏡!$I$3)/気管支鏡!$H$3),0)</f>
        <v>0</v>
      </c>
      <c r="Y112" s="306">
        <f t="shared" si="18"/>
        <v>0</v>
      </c>
      <c r="Z112" s="305">
        <f>IFERROR(SUMIF(CT撮影装置!$C$30:$C$74,B112,CT撮影装置!$K$30:$K$74)*((CT撮影装置!$H$3-CT撮影装置!$I$3)/CT撮影装置!$H$3),0)</f>
        <v>0</v>
      </c>
      <c r="AA112" s="306">
        <f t="shared" si="33"/>
        <v>0</v>
      </c>
      <c r="AB112" s="305">
        <f>IFERROR(SUMIF(生体情報モニタ!$C$30:$C$74,B112,生体情報モニタ!$K$30:$K$74)*((生体情報モニタ!$H$3-生体情報モニタ!$I$3)/生体情報モニタ!$H$3),0)</f>
        <v>0</v>
      </c>
      <c r="AC112" s="306">
        <f t="shared" si="19"/>
        <v>0</v>
      </c>
      <c r="AD112" s="305">
        <f>IFERROR(SUMIF(分娩監視装置!$C$30:$C$74,B112,分娩監視装置!$K$30:$K$74)*((分娩監視装置!$H$3-分娩監視装置!$I$3)/分娩監視装置!$H$3),0)</f>
        <v>0</v>
      </c>
      <c r="AE112" s="306">
        <f t="shared" si="34"/>
        <v>0</v>
      </c>
      <c r="AF112" s="305">
        <f>IFERROR(SUMIF(新生児モニタ!$C$30:$C$74,B112,新生児モニタ!$K$30:$K$74)*((新生児モニタ!$H$3-新生児モニタ!$I$3)/新生児モニタ!$H$3),0)</f>
        <v>0</v>
      </c>
      <c r="AG112" s="306">
        <f t="shared" si="35"/>
        <v>0</v>
      </c>
    </row>
    <row r="113" spans="2:33">
      <c r="B113" s="283" t="s">
        <v>926</v>
      </c>
      <c r="C113" s="305">
        <f>IFERROR(SUMIF(初度設備!$C$30:$C$74,B113,初度設備!$K$30:$K$74)*((初度設備!$H$3-初度設備!$I$3)/初度設備!$H$3),0)</f>
        <v>0</v>
      </c>
      <c r="D113" s="306">
        <f t="shared" si="20"/>
        <v>0</v>
      </c>
      <c r="E113" s="305">
        <f>IFERROR(SUMIF(人工呼吸器!$C$30:$C$74,B113,人工呼吸器!$K$30:$K$74)*((人工呼吸器!$H$3-人工呼吸器!$I$3)/人工呼吸器!$H$3),0)</f>
        <v>0</v>
      </c>
      <c r="F113" s="306">
        <f t="shared" si="21"/>
        <v>0</v>
      </c>
      <c r="G113" s="306">
        <f t="shared" si="22"/>
        <v>0</v>
      </c>
      <c r="H113" s="306">
        <f t="shared" si="23"/>
        <v>0</v>
      </c>
      <c r="I113" s="305">
        <f>IFERROR(SUMIF(簡易陰圧装置!$C$30:$C$74,B113,簡易陰圧装置!$K$30:$K$74)*((簡易陰圧装置!$H$3-簡易陰圧装置!$I$3)/簡易陰圧装置!$H$3),0)</f>
        <v>0</v>
      </c>
      <c r="J113" s="306">
        <f t="shared" si="24"/>
        <v>0</v>
      </c>
      <c r="K113" s="305">
        <f>IFERROR(SUMIF(簡易ベッド!$C$30:$C$74,B113,簡易ベッド!$K$30:$K$74)*((簡易ベッド!$H$3-簡易ベッド!$I$3)/簡易ベッド!$H$3),0)</f>
        <v>0</v>
      </c>
      <c r="L113" s="306">
        <f t="shared" si="25"/>
        <v>0</v>
      </c>
      <c r="M113" s="305">
        <f>IFERROR(SUMIF(体外式膜型人工肺!$C$30:$C$74,B113,体外式膜型人工肺!$K$30:$K$74)*((体外式膜型人工肺!$H$3-体外式膜型人工肺!$I$3)/体外式膜型人工肺!$H$3),0)</f>
        <v>0</v>
      </c>
      <c r="N113" s="306">
        <f t="shared" si="26"/>
        <v>0</v>
      </c>
      <c r="O113" s="306">
        <f t="shared" si="27"/>
        <v>0</v>
      </c>
      <c r="P113" s="306">
        <f t="shared" si="28"/>
        <v>0</v>
      </c>
      <c r="Q113" s="305">
        <f>IFERROR(SUMIF(紫外線照射装置!$C$30:$C$74,B113,紫外線照射装置!$K$30:$K$74)*((紫外線照射装置!$H$3-紫外線照射装置!$I$3)/紫外線照射装置!$H$3),0)</f>
        <v>0</v>
      </c>
      <c r="R113" s="306">
        <f t="shared" si="29"/>
        <v>0</v>
      </c>
      <c r="S113" s="419">
        <f t="shared" si="30"/>
        <v>0</v>
      </c>
      <c r="T113" s="305">
        <f>IFERROR(SUMIF(超音波画像診断装置!$C$30:$C$74,B113,超音波画像診断装置!$K$30:$K$74)*((超音波画像診断装置!$H$3-超音波画像診断装置!$I$3)/超音波画像診断装置!$H$3),0)</f>
        <v>0</v>
      </c>
      <c r="U113" s="306">
        <f t="shared" si="31"/>
        <v>0</v>
      </c>
      <c r="V113" s="305">
        <f>IFERROR(SUMIF(血液浄化装置!$C$30:$C$74,B113,血液浄化装置!$K$30:$K$74)*((血液浄化装置!$H$3-血液浄化装置!$I$3)/血液浄化装置!$H$3),0)</f>
        <v>0</v>
      </c>
      <c r="W113" s="306">
        <f t="shared" si="32"/>
        <v>0</v>
      </c>
      <c r="X113" s="305">
        <f>IFERROR(SUMIF(気管支鏡!$C$30:$C$74,B113,気管支鏡!$K$30:$K$74)*((気管支鏡!$H$3-気管支鏡!$I$3)/気管支鏡!$H$3),0)</f>
        <v>0</v>
      </c>
      <c r="Y113" s="306">
        <f t="shared" si="18"/>
        <v>0</v>
      </c>
      <c r="Z113" s="305">
        <f>IFERROR(SUMIF(CT撮影装置!$C$30:$C$74,B113,CT撮影装置!$K$30:$K$74)*((CT撮影装置!$H$3-CT撮影装置!$I$3)/CT撮影装置!$H$3),0)</f>
        <v>0</v>
      </c>
      <c r="AA113" s="306">
        <f t="shared" si="33"/>
        <v>0</v>
      </c>
      <c r="AB113" s="305">
        <f>IFERROR(SUMIF(生体情報モニタ!$C$30:$C$74,B113,生体情報モニタ!$K$30:$K$74)*((生体情報モニタ!$H$3-生体情報モニタ!$I$3)/生体情報モニタ!$H$3),0)</f>
        <v>0</v>
      </c>
      <c r="AC113" s="306">
        <f t="shared" si="19"/>
        <v>0</v>
      </c>
      <c r="AD113" s="305">
        <f>IFERROR(SUMIF(分娩監視装置!$C$30:$C$74,B113,分娩監視装置!$K$30:$K$74)*((分娩監視装置!$H$3-分娩監視装置!$I$3)/分娩監視装置!$H$3),0)</f>
        <v>0</v>
      </c>
      <c r="AE113" s="306">
        <f t="shared" si="34"/>
        <v>0</v>
      </c>
      <c r="AF113" s="305">
        <f>IFERROR(SUMIF(新生児モニタ!$C$30:$C$74,B113,新生児モニタ!$K$30:$K$74)*((新生児モニタ!$H$3-新生児モニタ!$I$3)/新生児モニタ!$H$3),0)</f>
        <v>0</v>
      </c>
      <c r="AG113" s="306">
        <f t="shared" si="35"/>
        <v>0</v>
      </c>
    </row>
    <row r="114" spans="2:33">
      <c r="B114" s="283" t="s">
        <v>927</v>
      </c>
      <c r="C114" s="305">
        <f>IFERROR(SUMIF(初度設備!$C$30:$C$74,B114,初度設備!$K$30:$K$74)*((初度設備!$H$3-初度設備!$I$3)/初度設備!$H$3),0)</f>
        <v>0</v>
      </c>
      <c r="D114" s="306">
        <f t="shared" si="20"/>
        <v>0</v>
      </c>
      <c r="E114" s="305">
        <f>IFERROR(SUMIF(人工呼吸器!$C$30:$C$74,B114,人工呼吸器!$K$30:$K$74)*((人工呼吸器!$H$3-人工呼吸器!$I$3)/人工呼吸器!$H$3),0)</f>
        <v>0</v>
      </c>
      <c r="F114" s="306">
        <f t="shared" si="21"/>
        <v>0</v>
      </c>
      <c r="G114" s="306">
        <f t="shared" si="22"/>
        <v>0</v>
      </c>
      <c r="H114" s="306">
        <f t="shared" si="23"/>
        <v>0</v>
      </c>
      <c r="I114" s="305">
        <f>IFERROR(SUMIF(簡易陰圧装置!$C$30:$C$74,B114,簡易陰圧装置!$K$30:$K$74)*((簡易陰圧装置!$H$3-簡易陰圧装置!$I$3)/簡易陰圧装置!$H$3),0)</f>
        <v>0</v>
      </c>
      <c r="J114" s="306">
        <f t="shared" si="24"/>
        <v>0</v>
      </c>
      <c r="K114" s="305">
        <f>IFERROR(SUMIF(簡易ベッド!$C$30:$C$74,B114,簡易ベッド!$K$30:$K$74)*((簡易ベッド!$H$3-簡易ベッド!$I$3)/簡易ベッド!$H$3),0)</f>
        <v>0</v>
      </c>
      <c r="L114" s="306">
        <f t="shared" si="25"/>
        <v>0</v>
      </c>
      <c r="M114" s="305">
        <f>IFERROR(SUMIF(体外式膜型人工肺!$C$30:$C$74,B114,体外式膜型人工肺!$K$30:$K$74)*((体外式膜型人工肺!$H$3-体外式膜型人工肺!$I$3)/体外式膜型人工肺!$H$3),0)</f>
        <v>0</v>
      </c>
      <c r="N114" s="306">
        <f t="shared" si="26"/>
        <v>0</v>
      </c>
      <c r="O114" s="306">
        <f t="shared" si="27"/>
        <v>0</v>
      </c>
      <c r="P114" s="306">
        <f t="shared" si="28"/>
        <v>0</v>
      </c>
      <c r="Q114" s="305">
        <f>IFERROR(SUMIF(紫外線照射装置!$C$30:$C$74,B114,紫外線照射装置!$K$30:$K$74)*((紫外線照射装置!$H$3-紫外線照射装置!$I$3)/紫外線照射装置!$H$3),0)</f>
        <v>0</v>
      </c>
      <c r="R114" s="306">
        <f t="shared" si="29"/>
        <v>0</v>
      </c>
      <c r="S114" s="419">
        <f t="shared" si="30"/>
        <v>0</v>
      </c>
      <c r="T114" s="305">
        <f>IFERROR(SUMIF(超音波画像診断装置!$C$30:$C$74,B114,超音波画像診断装置!$K$30:$K$74)*((超音波画像診断装置!$H$3-超音波画像診断装置!$I$3)/超音波画像診断装置!$H$3),0)</f>
        <v>0</v>
      </c>
      <c r="U114" s="306">
        <f t="shared" si="31"/>
        <v>0</v>
      </c>
      <c r="V114" s="305">
        <f>IFERROR(SUMIF(血液浄化装置!$C$30:$C$74,B114,血液浄化装置!$K$30:$K$74)*((血液浄化装置!$H$3-血液浄化装置!$I$3)/血液浄化装置!$H$3),0)</f>
        <v>0</v>
      </c>
      <c r="W114" s="306">
        <f t="shared" si="32"/>
        <v>0</v>
      </c>
      <c r="X114" s="305">
        <f>IFERROR(SUMIF(気管支鏡!$C$30:$C$74,B114,気管支鏡!$K$30:$K$74)*((気管支鏡!$H$3-気管支鏡!$I$3)/気管支鏡!$H$3),0)</f>
        <v>0</v>
      </c>
      <c r="Y114" s="306">
        <f t="shared" si="18"/>
        <v>0</v>
      </c>
      <c r="Z114" s="305">
        <f>IFERROR(SUMIF(CT撮影装置!$C$30:$C$74,B114,CT撮影装置!$K$30:$K$74)*((CT撮影装置!$H$3-CT撮影装置!$I$3)/CT撮影装置!$H$3),0)</f>
        <v>0</v>
      </c>
      <c r="AA114" s="306">
        <f t="shared" si="33"/>
        <v>0</v>
      </c>
      <c r="AB114" s="305">
        <f>IFERROR(SUMIF(生体情報モニタ!$C$30:$C$74,B114,生体情報モニタ!$K$30:$K$74)*((生体情報モニタ!$H$3-生体情報モニタ!$I$3)/生体情報モニタ!$H$3),0)</f>
        <v>0</v>
      </c>
      <c r="AC114" s="306">
        <f t="shared" si="19"/>
        <v>0</v>
      </c>
      <c r="AD114" s="305">
        <f>IFERROR(SUMIF(分娩監視装置!$C$30:$C$74,B114,分娩監視装置!$K$30:$K$74)*((分娩監視装置!$H$3-分娩監視装置!$I$3)/分娩監視装置!$H$3),0)</f>
        <v>0</v>
      </c>
      <c r="AE114" s="306">
        <f t="shared" si="34"/>
        <v>0</v>
      </c>
      <c r="AF114" s="305">
        <f>IFERROR(SUMIF(新生児モニタ!$C$30:$C$74,B114,新生児モニタ!$K$30:$K$74)*((新生児モニタ!$H$3-新生児モニタ!$I$3)/新生児モニタ!$H$3),0)</f>
        <v>0</v>
      </c>
      <c r="AG114" s="306">
        <f t="shared" si="35"/>
        <v>0</v>
      </c>
    </row>
    <row r="115" spans="2:33">
      <c r="B115" s="283" t="s">
        <v>928</v>
      </c>
      <c r="C115" s="305">
        <f>IFERROR(SUMIF(初度設備!$C$30:$C$74,B115,初度設備!$K$30:$K$74)*((初度設備!$H$3-初度設備!$I$3)/初度設備!$H$3),0)</f>
        <v>0</v>
      </c>
      <c r="D115" s="306">
        <f t="shared" si="20"/>
        <v>0</v>
      </c>
      <c r="E115" s="305">
        <f>IFERROR(SUMIF(人工呼吸器!$C$30:$C$74,B115,人工呼吸器!$K$30:$K$74)*((人工呼吸器!$H$3-人工呼吸器!$I$3)/人工呼吸器!$H$3),0)</f>
        <v>0</v>
      </c>
      <c r="F115" s="306">
        <f t="shared" si="21"/>
        <v>0</v>
      </c>
      <c r="G115" s="306">
        <f t="shared" si="22"/>
        <v>0</v>
      </c>
      <c r="H115" s="306">
        <f t="shared" si="23"/>
        <v>0</v>
      </c>
      <c r="I115" s="305">
        <f>IFERROR(SUMIF(簡易陰圧装置!$C$30:$C$74,B115,簡易陰圧装置!$K$30:$K$74)*((簡易陰圧装置!$H$3-簡易陰圧装置!$I$3)/簡易陰圧装置!$H$3),0)</f>
        <v>0</v>
      </c>
      <c r="J115" s="306">
        <f t="shared" si="24"/>
        <v>0</v>
      </c>
      <c r="K115" s="305">
        <f>IFERROR(SUMIF(簡易ベッド!$C$30:$C$74,B115,簡易ベッド!$K$30:$K$74)*((簡易ベッド!$H$3-簡易ベッド!$I$3)/簡易ベッド!$H$3),0)</f>
        <v>0</v>
      </c>
      <c r="L115" s="306">
        <f t="shared" si="25"/>
        <v>0</v>
      </c>
      <c r="M115" s="305">
        <f>IFERROR(SUMIF(体外式膜型人工肺!$C$30:$C$74,B115,体外式膜型人工肺!$K$30:$K$74)*((体外式膜型人工肺!$H$3-体外式膜型人工肺!$I$3)/体外式膜型人工肺!$H$3),0)</f>
        <v>0</v>
      </c>
      <c r="N115" s="306">
        <f t="shared" si="26"/>
        <v>0</v>
      </c>
      <c r="O115" s="306">
        <f t="shared" si="27"/>
        <v>0</v>
      </c>
      <c r="P115" s="306">
        <f t="shared" si="28"/>
        <v>0</v>
      </c>
      <c r="Q115" s="305">
        <f>IFERROR(SUMIF(紫外線照射装置!$C$30:$C$74,B115,紫外線照射装置!$K$30:$K$74)*((紫外線照射装置!$H$3-紫外線照射装置!$I$3)/紫外線照射装置!$H$3),0)</f>
        <v>0</v>
      </c>
      <c r="R115" s="306">
        <f t="shared" si="29"/>
        <v>0</v>
      </c>
      <c r="S115" s="419">
        <f t="shared" si="30"/>
        <v>0</v>
      </c>
      <c r="T115" s="305">
        <f>IFERROR(SUMIF(超音波画像診断装置!$C$30:$C$74,B115,超音波画像診断装置!$K$30:$K$74)*((超音波画像診断装置!$H$3-超音波画像診断装置!$I$3)/超音波画像診断装置!$H$3),0)</f>
        <v>0</v>
      </c>
      <c r="U115" s="306">
        <f t="shared" si="31"/>
        <v>0</v>
      </c>
      <c r="V115" s="305">
        <f>IFERROR(SUMIF(血液浄化装置!$C$30:$C$74,B115,血液浄化装置!$K$30:$K$74)*((血液浄化装置!$H$3-血液浄化装置!$I$3)/血液浄化装置!$H$3),0)</f>
        <v>0</v>
      </c>
      <c r="W115" s="306">
        <f t="shared" si="32"/>
        <v>0</v>
      </c>
      <c r="X115" s="305">
        <f>IFERROR(SUMIF(気管支鏡!$C$30:$C$74,B115,気管支鏡!$K$30:$K$74)*((気管支鏡!$H$3-気管支鏡!$I$3)/気管支鏡!$H$3),0)</f>
        <v>0</v>
      </c>
      <c r="Y115" s="306">
        <f t="shared" si="18"/>
        <v>0</v>
      </c>
      <c r="Z115" s="305">
        <f>IFERROR(SUMIF(CT撮影装置!$C$30:$C$74,B115,CT撮影装置!$K$30:$K$74)*((CT撮影装置!$H$3-CT撮影装置!$I$3)/CT撮影装置!$H$3),0)</f>
        <v>0</v>
      </c>
      <c r="AA115" s="306">
        <f t="shared" si="33"/>
        <v>0</v>
      </c>
      <c r="AB115" s="305">
        <f>IFERROR(SUMIF(生体情報モニタ!$C$30:$C$74,B115,生体情報モニタ!$K$30:$K$74)*((生体情報モニタ!$H$3-生体情報モニタ!$I$3)/生体情報モニタ!$H$3),0)</f>
        <v>0</v>
      </c>
      <c r="AC115" s="306">
        <f t="shared" si="19"/>
        <v>0</v>
      </c>
      <c r="AD115" s="305">
        <f>IFERROR(SUMIF(分娩監視装置!$C$30:$C$74,B115,分娩監視装置!$K$30:$K$74)*((分娩監視装置!$H$3-分娩監視装置!$I$3)/分娩監視装置!$H$3),0)</f>
        <v>0</v>
      </c>
      <c r="AE115" s="306">
        <f t="shared" si="34"/>
        <v>0</v>
      </c>
      <c r="AF115" s="305">
        <f>IFERROR(SUMIF(新生児モニタ!$C$30:$C$74,B115,新生児モニタ!$K$30:$K$74)*((新生児モニタ!$H$3-新生児モニタ!$I$3)/新生児モニタ!$H$3),0)</f>
        <v>0</v>
      </c>
      <c r="AG115" s="306">
        <f t="shared" si="35"/>
        <v>0</v>
      </c>
    </row>
    <row r="116" spans="2:33">
      <c r="B116" s="283" t="s">
        <v>929</v>
      </c>
      <c r="C116" s="305">
        <f>IFERROR(SUMIF(初度設備!$C$30:$C$74,B116,初度設備!$K$30:$K$74)*((初度設備!$H$3-初度設備!$I$3)/初度設備!$H$3),0)</f>
        <v>0</v>
      </c>
      <c r="D116" s="306">
        <f t="shared" si="20"/>
        <v>0</v>
      </c>
      <c r="E116" s="305">
        <f>IFERROR(SUMIF(人工呼吸器!$C$30:$C$74,B116,人工呼吸器!$K$30:$K$74)*((人工呼吸器!$H$3-人工呼吸器!$I$3)/人工呼吸器!$H$3),0)</f>
        <v>0</v>
      </c>
      <c r="F116" s="306">
        <f t="shared" si="21"/>
        <v>0</v>
      </c>
      <c r="G116" s="306">
        <f t="shared" si="22"/>
        <v>0</v>
      </c>
      <c r="H116" s="306">
        <f t="shared" si="23"/>
        <v>0</v>
      </c>
      <c r="I116" s="305">
        <f>IFERROR(SUMIF(簡易陰圧装置!$C$30:$C$74,B116,簡易陰圧装置!$K$30:$K$74)*((簡易陰圧装置!$H$3-簡易陰圧装置!$I$3)/簡易陰圧装置!$H$3),0)</f>
        <v>0</v>
      </c>
      <c r="J116" s="306">
        <f t="shared" si="24"/>
        <v>0</v>
      </c>
      <c r="K116" s="305">
        <f>IFERROR(SUMIF(簡易ベッド!$C$30:$C$74,B116,簡易ベッド!$K$30:$K$74)*((簡易ベッド!$H$3-簡易ベッド!$I$3)/簡易ベッド!$H$3),0)</f>
        <v>0</v>
      </c>
      <c r="L116" s="306">
        <f t="shared" si="25"/>
        <v>0</v>
      </c>
      <c r="M116" s="305">
        <f>IFERROR(SUMIF(体外式膜型人工肺!$C$30:$C$74,B116,体外式膜型人工肺!$K$30:$K$74)*((体外式膜型人工肺!$H$3-体外式膜型人工肺!$I$3)/体外式膜型人工肺!$H$3),0)</f>
        <v>0</v>
      </c>
      <c r="N116" s="306">
        <f t="shared" si="26"/>
        <v>0</v>
      </c>
      <c r="O116" s="306">
        <f t="shared" si="27"/>
        <v>0</v>
      </c>
      <c r="P116" s="306">
        <f t="shared" si="28"/>
        <v>0</v>
      </c>
      <c r="Q116" s="305">
        <f>IFERROR(SUMIF(紫外線照射装置!$C$30:$C$74,B116,紫外線照射装置!$K$30:$K$74)*((紫外線照射装置!$H$3-紫外線照射装置!$I$3)/紫外線照射装置!$H$3),0)</f>
        <v>0</v>
      </c>
      <c r="R116" s="306">
        <f t="shared" si="29"/>
        <v>0</v>
      </c>
      <c r="S116" s="419">
        <f t="shared" si="30"/>
        <v>0</v>
      </c>
      <c r="T116" s="305">
        <f>IFERROR(SUMIF(超音波画像診断装置!$C$30:$C$74,B116,超音波画像診断装置!$K$30:$K$74)*((超音波画像診断装置!$H$3-超音波画像診断装置!$I$3)/超音波画像診断装置!$H$3),0)</f>
        <v>0</v>
      </c>
      <c r="U116" s="306">
        <f t="shared" si="31"/>
        <v>0</v>
      </c>
      <c r="V116" s="305">
        <f>IFERROR(SUMIF(血液浄化装置!$C$30:$C$74,B116,血液浄化装置!$K$30:$K$74)*((血液浄化装置!$H$3-血液浄化装置!$I$3)/血液浄化装置!$H$3),0)</f>
        <v>0</v>
      </c>
      <c r="W116" s="306">
        <f t="shared" si="32"/>
        <v>0</v>
      </c>
      <c r="X116" s="305">
        <f>IFERROR(SUMIF(気管支鏡!$C$30:$C$74,B116,気管支鏡!$K$30:$K$74)*((気管支鏡!$H$3-気管支鏡!$I$3)/気管支鏡!$H$3),0)</f>
        <v>0</v>
      </c>
      <c r="Y116" s="306">
        <f t="shared" si="18"/>
        <v>0</v>
      </c>
      <c r="Z116" s="305">
        <f>IFERROR(SUMIF(CT撮影装置!$C$30:$C$74,B116,CT撮影装置!$K$30:$K$74)*((CT撮影装置!$H$3-CT撮影装置!$I$3)/CT撮影装置!$H$3),0)</f>
        <v>0</v>
      </c>
      <c r="AA116" s="306">
        <f t="shared" si="33"/>
        <v>0</v>
      </c>
      <c r="AB116" s="305">
        <f>IFERROR(SUMIF(生体情報モニタ!$C$30:$C$74,B116,生体情報モニタ!$K$30:$K$74)*((生体情報モニタ!$H$3-生体情報モニタ!$I$3)/生体情報モニタ!$H$3),0)</f>
        <v>0</v>
      </c>
      <c r="AC116" s="306">
        <f t="shared" si="19"/>
        <v>0</v>
      </c>
      <c r="AD116" s="305">
        <f>IFERROR(SUMIF(分娩監視装置!$C$30:$C$74,B116,分娩監視装置!$K$30:$K$74)*((分娩監視装置!$H$3-分娩監視装置!$I$3)/分娩監視装置!$H$3),0)</f>
        <v>0</v>
      </c>
      <c r="AE116" s="306">
        <f t="shared" si="34"/>
        <v>0</v>
      </c>
      <c r="AF116" s="305">
        <f>IFERROR(SUMIF(新生児モニタ!$C$30:$C$74,B116,新生児モニタ!$K$30:$K$74)*((新生児モニタ!$H$3-新生児モニタ!$I$3)/新生児モニタ!$H$3),0)</f>
        <v>0</v>
      </c>
      <c r="AG116" s="306">
        <f t="shared" si="35"/>
        <v>0</v>
      </c>
    </row>
    <row r="117" spans="2:33">
      <c r="B117" s="283" t="s">
        <v>930</v>
      </c>
      <c r="C117" s="305">
        <f>IFERROR(SUMIF(初度設備!$C$30:$C$74,B117,初度設備!$K$30:$K$74)*((初度設備!$H$3-初度設備!$I$3)/初度設備!$H$3),0)</f>
        <v>0</v>
      </c>
      <c r="D117" s="306">
        <f t="shared" si="20"/>
        <v>0</v>
      </c>
      <c r="E117" s="305">
        <f>IFERROR(SUMIF(人工呼吸器!$C$30:$C$74,B117,人工呼吸器!$K$30:$K$74)*((人工呼吸器!$H$3-人工呼吸器!$I$3)/人工呼吸器!$H$3),0)</f>
        <v>0</v>
      </c>
      <c r="F117" s="306">
        <f t="shared" si="21"/>
        <v>0</v>
      </c>
      <c r="G117" s="306">
        <f t="shared" si="22"/>
        <v>0</v>
      </c>
      <c r="H117" s="306">
        <f t="shared" si="23"/>
        <v>0</v>
      </c>
      <c r="I117" s="305">
        <f>IFERROR(SUMIF(簡易陰圧装置!$C$30:$C$74,B117,簡易陰圧装置!$K$30:$K$74)*((簡易陰圧装置!$H$3-簡易陰圧装置!$I$3)/簡易陰圧装置!$H$3),0)</f>
        <v>0</v>
      </c>
      <c r="J117" s="306">
        <f t="shared" si="24"/>
        <v>0</v>
      </c>
      <c r="K117" s="305">
        <f>IFERROR(SUMIF(簡易ベッド!$C$30:$C$74,B117,簡易ベッド!$K$30:$K$74)*((簡易ベッド!$H$3-簡易ベッド!$I$3)/簡易ベッド!$H$3),0)</f>
        <v>0</v>
      </c>
      <c r="L117" s="306">
        <f t="shared" si="25"/>
        <v>0</v>
      </c>
      <c r="M117" s="305">
        <f>IFERROR(SUMIF(体外式膜型人工肺!$C$30:$C$74,B117,体外式膜型人工肺!$K$30:$K$74)*((体外式膜型人工肺!$H$3-体外式膜型人工肺!$I$3)/体外式膜型人工肺!$H$3),0)</f>
        <v>0</v>
      </c>
      <c r="N117" s="306">
        <f t="shared" si="26"/>
        <v>0</v>
      </c>
      <c r="O117" s="306">
        <f t="shared" si="27"/>
        <v>0</v>
      </c>
      <c r="P117" s="306">
        <f t="shared" si="28"/>
        <v>0</v>
      </c>
      <c r="Q117" s="305">
        <f>IFERROR(SUMIF(紫外線照射装置!$C$30:$C$74,B117,紫外線照射装置!$K$30:$K$74)*((紫外線照射装置!$H$3-紫外線照射装置!$I$3)/紫外線照射装置!$H$3),0)</f>
        <v>0</v>
      </c>
      <c r="R117" s="306">
        <f t="shared" si="29"/>
        <v>0</v>
      </c>
      <c r="S117" s="419">
        <f t="shared" si="30"/>
        <v>0</v>
      </c>
      <c r="T117" s="305">
        <f>IFERROR(SUMIF(超音波画像診断装置!$C$30:$C$74,B117,超音波画像診断装置!$K$30:$K$74)*((超音波画像診断装置!$H$3-超音波画像診断装置!$I$3)/超音波画像診断装置!$H$3),0)</f>
        <v>0</v>
      </c>
      <c r="U117" s="306">
        <f t="shared" si="31"/>
        <v>0</v>
      </c>
      <c r="V117" s="305">
        <f>IFERROR(SUMIF(血液浄化装置!$C$30:$C$74,B117,血液浄化装置!$K$30:$K$74)*((血液浄化装置!$H$3-血液浄化装置!$I$3)/血液浄化装置!$H$3),0)</f>
        <v>0</v>
      </c>
      <c r="W117" s="306">
        <f t="shared" si="32"/>
        <v>0</v>
      </c>
      <c r="X117" s="305">
        <f>IFERROR(SUMIF(気管支鏡!$C$30:$C$74,B117,気管支鏡!$K$30:$K$74)*((気管支鏡!$H$3-気管支鏡!$I$3)/気管支鏡!$H$3),0)</f>
        <v>0</v>
      </c>
      <c r="Y117" s="306">
        <f t="shared" si="18"/>
        <v>0</v>
      </c>
      <c r="Z117" s="305">
        <f>IFERROR(SUMIF(CT撮影装置!$C$30:$C$74,B117,CT撮影装置!$K$30:$K$74)*((CT撮影装置!$H$3-CT撮影装置!$I$3)/CT撮影装置!$H$3),0)</f>
        <v>0</v>
      </c>
      <c r="AA117" s="306">
        <f t="shared" si="33"/>
        <v>0</v>
      </c>
      <c r="AB117" s="305">
        <f>IFERROR(SUMIF(生体情報モニタ!$C$30:$C$74,B117,生体情報モニタ!$K$30:$K$74)*((生体情報モニタ!$H$3-生体情報モニタ!$I$3)/生体情報モニタ!$H$3),0)</f>
        <v>0</v>
      </c>
      <c r="AC117" s="306">
        <f t="shared" si="19"/>
        <v>0</v>
      </c>
      <c r="AD117" s="305">
        <f>IFERROR(SUMIF(分娩監視装置!$C$30:$C$74,B117,分娩監視装置!$K$30:$K$74)*((分娩監視装置!$H$3-分娩監視装置!$I$3)/分娩監視装置!$H$3),0)</f>
        <v>0</v>
      </c>
      <c r="AE117" s="306">
        <f t="shared" si="34"/>
        <v>0</v>
      </c>
      <c r="AF117" s="305">
        <f>IFERROR(SUMIF(新生児モニタ!$C$30:$C$74,B117,新生児モニタ!$K$30:$K$74)*((新生児モニタ!$H$3-新生児モニタ!$I$3)/新生児モニタ!$H$3),0)</f>
        <v>0</v>
      </c>
      <c r="AG117" s="306">
        <f t="shared" si="35"/>
        <v>0</v>
      </c>
    </row>
    <row r="118" spans="2:33">
      <c r="B118" s="283" t="s">
        <v>931</v>
      </c>
      <c r="C118" s="305">
        <f>IFERROR(SUMIF(初度設備!$C$30:$C$74,B118,初度設備!$K$30:$K$74)*((初度設備!$H$3-初度設備!$I$3)/初度設備!$H$3),0)</f>
        <v>0</v>
      </c>
      <c r="D118" s="306">
        <f t="shared" si="20"/>
        <v>0</v>
      </c>
      <c r="E118" s="305">
        <f>IFERROR(SUMIF(人工呼吸器!$C$30:$C$74,B118,人工呼吸器!$K$30:$K$74)*((人工呼吸器!$H$3-人工呼吸器!$I$3)/人工呼吸器!$H$3),0)</f>
        <v>0</v>
      </c>
      <c r="F118" s="306">
        <f t="shared" si="21"/>
        <v>0</v>
      </c>
      <c r="G118" s="306">
        <f t="shared" si="22"/>
        <v>0</v>
      </c>
      <c r="H118" s="306">
        <f t="shared" si="23"/>
        <v>0</v>
      </c>
      <c r="I118" s="305">
        <f>IFERROR(SUMIF(簡易陰圧装置!$C$30:$C$74,B118,簡易陰圧装置!$K$30:$K$74)*((簡易陰圧装置!$H$3-簡易陰圧装置!$I$3)/簡易陰圧装置!$H$3),0)</f>
        <v>0</v>
      </c>
      <c r="J118" s="306">
        <f t="shared" si="24"/>
        <v>0</v>
      </c>
      <c r="K118" s="305">
        <f>IFERROR(SUMIF(簡易ベッド!$C$30:$C$74,B118,簡易ベッド!$K$30:$K$74)*((簡易ベッド!$H$3-簡易ベッド!$I$3)/簡易ベッド!$H$3),0)</f>
        <v>0</v>
      </c>
      <c r="L118" s="306">
        <f t="shared" si="25"/>
        <v>0</v>
      </c>
      <c r="M118" s="305">
        <f>IFERROR(SUMIF(体外式膜型人工肺!$C$30:$C$74,B118,体外式膜型人工肺!$K$30:$K$74)*((体外式膜型人工肺!$H$3-体外式膜型人工肺!$I$3)/体外式膜型人工肺!$H$3),0)</f>
        <v>0</v>
      </c>
      <c r="N118" s="306">
        <f t="shared" si="26"/>
        <v>0</v>
      </c>
      <c r="O118" s="306">
        <f t="shared" si="27"/>
        <v>0</v>
      </c>
      <c r="P118" s="306">
        <f t="shared" si="28"/>
        <v>0</v>
      </c>
      <c r="Q118" s="305">
        <f>IFERROR(SUMIF(紫外線照射装置!$C$30:$C$74,B118,紫外線照射装置!$K$30:$K$74)*((紫外線照射装置!$H$3-紫外線照射装置!$I$3)/紫外線照射装置!$H$3),0)</f>
        <v>0</v>
      </c>
      <c r="R118" s="306">
        <f t="shared" si="29"/>
        <v>0</v>
      </c>
      <c r="S118" s="419">
        <f t="shared" si="30"/>
        <v>0</v>
      </c>
      <c r="T118" s="305">
        <f>IFERROR(SUMIF(超音波画像診断装置!$C$30:$C$74,B118,超音波画像診断装置!$K$30:$K$74)*((超音波画像診断装置!$H$3-超音波画像診断装置!$I$3)/超音波画像診断装置!$H$3),0)</f>
        <v>0</v>
      </c>
      <c r="U118" s="306">
        <f t="shared" si="31"/>
        <v>0</v>
      </c>
      <c r="V118" s="305">
        <f>IFERROR(SUMIF(血液浄化装置!$C$30:$C$74,B118,血液浄化装置!$K$30:$K$74)*((血液浄化装置!$H$3-血液浄化装置!$I$3)/血液浄化装置!$H$3),0)</f>
        <v>0</v>
      </c>
      <c r="W118" s="306">
        <f t="shared" si="32"/>
        <v>0</v>
      </c>
      <c r="X118" s="305">
        <f>IFERROR(SUMIF(気管支鏡!$C$30:$C$74,B118,気管支鏡!$K$30:$K$74)*((気管支鏡!$H$3-気管支鏡!$I$3)/気管支鏡!$H$3),0)</f>
        <v>0</v>
      </c>
      <c r="Y118" s="306">
        <f t="shared" si="18"/>
        <v>0</v>
      </c>
      <c r="Z118" s="305">
        <f>IFERROR(SUMIF(CT撮影装置!$C$30:$C$74,B118,CT撮影装置!$K$30:$K$74)*((CT撮影装置!$H$3-CT撮影装置!$I$3)/CT撮影装置!$H$3),0)</f>
        <v>0</v>
      </c>
      <c r="AA118" s="306">
        <f t="shared" si="33"/>
        <v>0</v>
      </c>
      <c r="AB118" s="305">
        <f>IFERROR(SUMIF(生体情報モニタ!$C$30:$C$74,B118,生体情報モニタ!$K$30:$K$74)*((生体情報モニタ!$H$3-生体情報モニタ!$I$3)/生体情報モニタ!$H$3),0)</f>
        <v>0</v>
      </c>
      <c r="AC118" s="306">
        <f t="shared" si="19"/>
        <v>0</v>
      </c>
      <c r="AD118" s="305">
        <f>IFERROR(SUMIF(分娩監視装置!$C$30:$C$74,B118,分娩監視装置!$K$30:$K$74)*((分娩監視装置!$H$3-分娩監視装置!$I$3)/分娩監視装置!$H$3),0)</f>
        <v>0</v>
      </c>
      <c r="AE118" s="306">
        <f t="shared" si="34"/>
        <v>0</v>
      </c>
      <c r="AF118" s="305">
        <f>IFERROR(SUMIF(新生児モニタ!$C$30:$C$74,B118,新生児モニタ!$K$30:$K$74)*((新生児モニタ!$H$3-新生児モニタ!$I$3)/新生児モニタ!$H$3),0)</f>
        <v>0</v>
      </c>
      <c r="AG118" s="306">
        <f t="shared" si="35"/>
        <v>0</v>
      </c>
    </row>
    <row r="119" spans="2:33">
      <c r="B119" s="283" t="s">
        <v>932</v>
      </c>
      <c r="C119" s="305">
        <f>IFERROR(SUMIF(初度設備!$C$30:$C$74,B119,初度設備!$K$30:$K$74)*((初度設備!$H$3-初度設備!$I$3)/初度設備!$H$3),0)</f>
        <v>0</v>
      </c>
      <c r="D119" s="306">
        <f t="shared" si="20"/>
        <v>0</v>
      </c>
      <c r="E119" s="305">
        <f>IFERROR(SUMIF(人工呼吸器!$C$30:$C$74,B119,人工呼吸器!$K$30:$K$74)*((人工呼吸器!$H$3-人工呼吸器!$I$3)/人工呼吸器!$H$3),0)</f>
        <v>0</v>
      </c>
      <c r="F119" s="306">
        <f t="shared" si="21"/>
        <v>0</v>
      </c>
      <c r="G119" s="306">
        <f t="shared" si="22"/>
        <v>0</v>
      </c>
      <c r="H119" s="306">
        <f t="shared" si="23"/>
        <v>0</v>
      </c>
      <c r="I119" s="305">
        <f>IFERROR(SUMIF(簡易陰圧装置!$C$30:$C$74,B119,簡易陰圧装置!$K$30:$K$74)*((簡易陰圧装置!$H$3-簡易陰圧装置!$I$3)/簡易陰圧装置!$H$3),0)</f>
        <v>0</v>
      </c>
      <c r="J119" s="306">
        <f t="shared" si="24"/>
        <v>0</v>
      </c>
      <c r="K119" s="305">
        <f>IFERROR(SUMIF(簡易ベッド!$C$30:$C$74,B119,簡易ベッド!$K$30:$K$74)*((簡易ベッド!$H$3-簡易ベッド!$I$3)/簡易ベッド!$H$3),0)</f>
        <v>0</v>
      </c>
      <c r="L119" s="306">
        <f t="shared" si="25"/>
        <v>0</v>
      </c>
      <c r="M119" s="305">
        <f>IFERROR(SUMIF(体外式膜型人工肺!$C$30:$C$74,B119,体外式膜型人工肺!$K$30:$K$74)*((体外式膜型人工肺!$H$3-体外式膜型人工肺!$I$3)/体外式膜型人工肺!$H$3),0)</f>
        <v>0</v>
      </c>
      <c r="N119" s="306">
        <f t="shared" si="26"/>
        <v>0</v>
      </c>
      <c r="O119" s="306">
        <f t="shared" si="27"/>
        <v>0</v>
      </c>
      <c r="P119" s="306">
        <f t="shared" si="28"/>
        <v>0</v>
      </c>
      <c r="Q119" s="305">
        <f>IFERROR(SUMIF(紫外線照射装置!$C$30:$C$74,B119,紫外線照射装置!$K$30:$K$74)*((紫外線照射装置!$H$3-紫外線照射装置!$I$3)/紫外線照射装置!$H$3),0)</f>
        <v>0</v>
      </c>
      <c r="R119" s="306">
        <f t="shared" si="29"/>
        <v>0</v>
      </c>
      <c r="S119" s="419">
        <f t="shared" si="30"/>
        <v>0</v>
      </c>
      <c r="T119" s="305">
        <f>IFERROR(SUMIF(超音波画像診断装置!$C$30:$C$74,B119,超音波画像診断装置!$K$30:$K$74)*((超音波画像診断装置!$H$3-超音波画像診断装置!$I$3)/超音波画像診断装置!$H$3),0)</f>
        <v>0</v>
      </c>
      <c r="U119" s="306">
        <f t="shared" si="31"/>
        <v>0</v>
      </c>
      <c r="V119" s="305">
        <f>IFERROR(SUMIF(血液浄化装置!$C$30:$C$74,B119,血液浄化装置!$K$30:$K$74)*((血液浄化装置!$H$3-血液浄化装置!$I$3)/血液浄化装置!$H$3),0)</f>
        <v>0</v>
      </c>
      <c r="W119" s="306">
        <f t="shared" si="32"/>
        <v>0</v>
      </c>
      <c r="X119" s="305">
        <f>IFERROR(SUMIF(気管支鏡!$C$30:$C$74,B119,気管支鏡!$K$30:$K$74)*((気管支鏡!$H$3-気管支鏡!$I$3)/気管支鏡!$H$3),0)</f>
        <v>0</v>
      </c>
      <c r="Y119" s="306">
        <f t="shared" si="18"/>
        <v>0</v>
      </c>
      <c r="Z119" s="305">
        <f>IFERROR(SUMIF(CT撮影装置!$C$30:$C$74,B119,CT撮影装置!$K$30:$K$74)*((CT撮影装置!$H$3-CT撮影装置!$I$3)/CT撮影装置!$H$3),0)</f>
        <v>0</v>
      </c>
      <c r="AA119" s="306">
        <f t="shared" si="33"/>
        <v>0</v>
      </c>
      <c r="AB119" s="305">
        <f>IFERROR(SUMIF(生体情報モニタ!$C$30:$C$74,B119,生体情報モニタ!$K$30:$K$74)*((生体情報モニタ!$H$3-生体情報モニタ!$I$3)/生体情報モニタ!$H$3),0)</f>
        <v>0</v>
      </c>
      <c r="AC119" s="306">
        <f t="shared" si="19"/>
        <v>0</v>
      </c>
      <c r="AD119" s="305">
        <f>IFERROR(SUMIF(分娩監視装置!$C$30:$C$74,B119,分娩監視装置!$K$30:$K$74)*((分娩監視装置!$H$3-分娩監視装置!$I$3)/分娩監視装置!$H$3),0)</f>
        <v>0</v>
      </c>
      <c r="AE119" s="306">
        <f t="shared" si="34"/>
        <v>0</v>
      </c>
      <c r="AF119" s="305">
        <f>IFERROR(SUMIF(新生児モニタ!$C$30:$C$74,B119,新生児モニタ!$K$30:$K$74)*((新生児モニタ!$H$3-新生児モニタ!$I$3)/新生児モニタ!$H$3),0)</f>
        <v>0</v>
      </c>
      <c r="AG119" s="306">
        <f t="shared" si="35"/>
        <v>0</v>
      </c>
    </row>
    <row r="120" spans="2:33">
      <c r="B120" s="283" t="s">
        <v>933</v>
      </c>
      <c r="C120" s="305">
        <f>IFERROR(SUMIF(初度設備!$C$30:$C$74,B120,初度設備!$K$30:$K$74)*((初度設備!$H$3-初度設備!$I$3)/初度設備!$H$3),0)</f>
        <v>0</v>
      </c>
      <c r="D120" s="306">
        <f t="shared" si="20"/>
        <v>0</v>
      </c>
      <c r="E120" s="305">
        <f>IFERROR(SUMIF(人工呼吸器!$C$30:$C$74,B120,人工呼吸器!$K$30:$K$74)*((人工呼吸器!$H$3-人工呼吸器!$I$3)/人工呼吸器!$H$3),0)</f>
        <v>0</v>
      </c>
      <c r="F120" s="306">
        <f t="shared" si="21"/>
        <v>0</v>
      </c>
      <c r="G120" s="306">
        <f t="shared" si="22"/>
        <v>0</v>
      </c>
      <c r="H120" s="306">
        <f t="shared" si="23"/>
        <v>0</v>
      </c>
      <c r="I120" s="305">
        <f>IFERROR(SUMIF(簡易陰圧装置!$C$30:$C$74,B120,簡易陰圧装置!$K$30:$K$74)*((簡易陰圧装置!$H$3-簡易陰圧装置!$I$3)/簡易陰圧装置!$H$3),0)</f>
        <v>0</v>
      </c>
      <c r="J120" s="306">
        <f t="shared" si="24"/>
        <v>0</v>
      </c>
      <c r="K120" s="305">
        <f>IFERROR(SUMIF(簡易ベッド!$C$30:$C$74,B120,簡易ベッド!$K$30:$K$74)*((簡易ベッド!$H$3-簡易ベッド!$I$3)/簡易ベッド!$H$3),0)</f>
        <v>0</v>
      </c>
      <c r="L120" s="306">
        <f t="shared" si="25"/>
        <v>0</v>
      </c>
      <c r="M120" s="305">
        <f>IFERROR(SUMIF(体外式膜型人工肺!$C$30:$C$74,B120,体外式膜型人工肺!$K$30:$K$74)*((体外式膜型人工肺!$H$3-体外式膜型人工肺!$I$3)/体外式膜型人工肺!$H$3),0)</f>
        <v>0</v>
      </c>
      <c r="N120" s="306">
        <f t="shared" si="26"/>
        <v>0</v>
      </c>
      <c r="O120" s="306">
        <f t="shared" si="27"/>
        <v>0</v>
      </c>
      <c r="P120" s="306">
        <f t="shared" si="28"/>
        <v>0</v>
      </c>
      <c r="Q120" s="305">
        <f>IFERROR(SUMIF(紫外線照射装置!$C$30:$C$74,B120,紫外線照射装置!$K$30:$K$74)*((紫外線照射装置!$H$3-紫外線照射装置!$I$3)/紫外線照射装置!$H$3),0)</f>
        <v>0</v>
      </c>
      <c r="R120" s="306">
        <f t="shared" si="29"/>
        <v>0</v>
      </c>
      <c r="S120" s="419">
        <f t="shared" si="30"/>
        <v>0</v>
      </c>
      <c r="T120" s="305">
        <f>IFERROR(SUMIF(超音波画像診断装置!$C$30:$C$74,B120,超音波画像診断装置!$K$30:$K$74)*((超音波画像診断装置!$H$3-超音波画像診断装置!$I$3)/超音波画像診断装置!$H$3),0)</f>
        <v>0</v>
      </c>
      <c r="U120" s="306">
        <f t="shared" si="31"/>
        <v>0</v>
      </c>
      <c r="V120" s="305">
        <f>IFERROR(SUMIF(血液浄化装置!$C$30:$C$74,B120,血液浄化装置!$K$30:$K$74)*((血液浄化装置!$H$3-血液浄化装置!$I$3)/血液浄化装置!$H$3),0)</f>
        <v>0</v>
      </c>
      <c r="W120" s="306">
        <f t="shared" si="32"/>
        <v>0</v>
      </c>
      <c r="X120" s="305">
        <f>IFERROR(SUMIF(気管支鏡!$C$30:$C$74,B120,気管支鏡!$K$30:$K$74)*((気管支鏡!$H$3-気管支鏡!$I$3)/気管支鏡!$H$3),0)</f>
        <v>0</v>
      </c>
      <c r="Y120" s="306">
        <f t="shared" si="18"/>
        <v>0</v>
      </c>
      <c r="Z120" s="305">
        <f>IFERROR(SUMIF(CT撮影装置!$C$30:$C$74,B120,CT撮影装置!$K$30:$K$74)*((CT撮影装置!$H$3-CT撮影装置!$I$3)/CT撮影装置!$H$3),0)</f>
        <v>0</v>
      </c>
      <c r="AA120" s="306">
        <f t="shared" si="33"/>
        <v>0</v>
      </c>
      <c r="AB120" s="305">
        <f>IFERROR(SUMIF(生体情報モニタ!$C$30:$C$74,B120,生体情報モニタ!$K$30:$K$74)*((生体情報モニタ!$H$3-生体情報モニタ!$I$3)/生体情報モニタ!$H$3),0)</f>
        <v>0</v>
      </c>
      <c r="AC120" s="306">
        <f t="shared" si="19"/>
        <v>0</v>
      </c>
      <c r="AD120" s="305">
        <f>IFERROR(SUMIF(分娩監視装置!$C$30:$C$74,B120,分娩監視装置!$K$30:$K$74)*((分娩監視装置!$H$3-分娩監視装置!$I$3)/分娩監視装置!$H$3),0)</f>
        <v>0</v>
      </c>
      <c r="AE120" s="306">
        <f t="shared" si="34"/>
        <v>0</v>
      </c>
      <c r="AF120" s="305">
        <f>IFERROR(SUMIF(新生児モニタ!$C$30:$C$74,B120,新生児モニタ!$K$30:$K$74)*((新生児モニタ!$H$3-新生児モニタ!$I$3)/新生児モニタ!$H$3),0)</f>
        <v>0</v>
      </c>
      <c r="AG120" s="306">
        <f t="shared" si="35"/>
        <v>0</v>
      </c>
    </row>
    <row r="121" spans="2:33">
      <c r="B121" s="283" t="s">
        <v>934</v>
      </c>
      <c r="C121" s="305">
        <f>IFERROR(SUMIF(初度設備!$C$30:$C$74,B121,初度設備!$K$30:$K$74)*((初度設備!$H$3-初度設備!$I$3)/初度設備!$H$3),0)</f>
        <v>0</v>
      </c>
      <c r="D121" s="306">
        <f t="shared" si="20"/>
        <v>0</v>
      </c>
      <c r="E121" s="305">
        <f>IFERROR(SUMIF(人工呼吸器!$C$30:$C$74,B121,人工呼吸器!$K$30:$K$74)*((人工呼吸器!$H$3-人工呼吸器!$I$3)/人工呼吸器!$H$3),0)</f>
        <v>0</v>
      </c>
      <c r="F121" s="306">
        <f t="shared" si="21"/>
        <v>0</v>
      </c>
      <c r="G121" s="306">
        <f t="shared" si="22"/>
        <v>0</v>
      </c>
      <c r="H121" s="306">
        <f t="shared" si="23"/>
        <v>0</v>
      </c>
      <c r="I121" s="305">
        <f>IFERROR(SUMIF(簡易陰圧装置!$C$30:$C$74,B121,簡易陰圧装置!$K$30:$K$74)*((簡易陰圧装置!$H$3-簡易陰圧装置!$I$3)/簡易陰圧装置!$H$3),0)</f>
        <v>0</v>
      </c>
      <c r="J121" s="306">
        <f t="shared" si="24"/>
        <v>0</v>
      </c>
      <c r="K121" s="305">
        <f>IFERROR(SUMIF(簡易ベッド!$C$30:$C$74,B121,簡易ベッド!$K$30:$K$74)*((簡易ベッド!$H$3-簡易ベッド!$I$3)/簡易ベッド!$H$3),0)</f>
        <v>0</v>
      </c>
      <c r="L121" s="306">
        <f t="shared" si="25"/>
        <v>0</v>
      </c>
      <c r="M121" s="305">
        <f>IFERROR(SUMIF(体外式膜型人工肺!$C$30:$C$74,B121,体外式膜型人工肺!$K$30:$K$74)*((体外式膜型人工肺!$H$3-体外式膜型人工肺!$I$3)/体外式膜型人工肺!$H$3),0)</f>
        <v>0</v>
      </c>
      <c r="N121" s="306">
        <f t="shared" si="26"/>
        <v>0</v>
      </c>
      <c r="O121" s="306">
        <f t="shared" si="27"/>
        <v>0</v>
      </c>
      <c r="P121" s="306">
        <f t="shared" si="28"/>
        <v>0</v>
      </c>
      <c r="Q121" s="305">
        <f>IFERROR(SUMIF(紫外線照射装置!$C$30:$C$74,B121,紫外線照射装置!$K$30:$K$74)*((紫外線照射装置!$H$3-紫外線照射装置!$I$3)/紫外線照射装置!$H$3),0)</f>
        <v>0</v>
      </c>
      <c r="R121" s="306">
        <f t="shared" si="29"/>
        <v>0</v>
      </c>
      <c r="S121" s="419">
        <f t="shared" si="30"/>
        <v>0</v>
      </c>
      <c r="T121" s="305">
        <f>IFERROR(SUMIF(超音波画像診断装置!$C$30:$C$74,B121,超音波画像診断装置!$K$30:$K$74)*((超音波画像診断装置!$H$3-超音波画像診断装置!$I$3)/超音波画像診断装置!$H$3),0)</f>
        <v>0</v>
      </c>
      <c r="U121" s="306">
        <f t="shared" si="31"/>
        <v>0</v>
      </c>
      <c r="V121" s="305">
        <f>IFERROR(SUMIF(血液浄化装置!$C$30:$C$74,B121,血液浄化装置!$K$30:$K$74)*((血液浄化装置!$H$3-血液浄化装置!$I$3)/血液浄化装置!$H$3),0)</f>
        <v>0</v>
      </c>
      <c r="W121" s="306">
        <f t="shared" si="32"/>
        <v>0</v>
      </c>
      <c r="X121" s="305">
        <f>IFERROR(SUMIF(気管支鏡!$C$30:$C$74,B121,気管支鏡!$K$30:$K$74)*((気管支鏡!$H$3-気管支鏡!$I$3)/気管支鏡!$H$3),0)</f>
        <v>0</v>
      </c>
      <c r="Y121" s="306">
        <f t="shared" si="18"/>
        <v>0</v>
      </c>
      <c r="Z121" s="305">
        <f>IFERROR(SUMIF(CT撮影装置!$C$30:$C$74,B121,CT撮影装置!$K$30:$K$74)*((CT撮影装置!$H$3-CT撮影装置!$I$3)/CT撮影装置!$H$3),0)</f>
        <v>0</v>
      </c>
      <c r="AA121" s="306">
        <f t="shared" si="33"/>
        <v>0</v>
      </c>
      <c r="AB121" s="305">
        <f>IFERROR(SUMIF(生体情報モニタ!$C$30:$C$74,B121,生体情報モニタ!$K$30:$K$74)*((生体情報モニタ!$H$3-生体情報モニタ!$I$3)/生体情報モニタ!$H$3),0)</f>
        <v>0</v>
      </c>
      <c r="AC121" s="306">
        <f t="shared" si="19"/>
        <v>0</v>
      </c>
      <c r="AD121" s="305">
        <f>IFERROR(SUMIF(分娩監視装置!$C$30:$C$74,B121,分娩監視装置!$K$30:$K$74)*((分娩監視装置!$H$3-分娩監視装置!$I$3)/分娩監視装置!$H$3),0)</f>
        <v>0</v>
      </c>
      <c r="AE121" s="306">
        <f t="shared" si="34"/>
        <v>0</v>
      </c>
      <c r="AF121" s="305">
        <f>IFERROR(SUMIF(新生児モニタ!$C$30:$C$74,B121,新生児モニタ!$K$30:$K$74)*((新生児モニタ!$H$3-新生児モニタ!$I$3)/新生児モニタ!$H$3),0)</f>
        <v>0</v>
      </c>
      <c r="AG121" s="306">
        <f t="shared" si="35"/>
        <v>0</v>
      </c>
    </row>
    <row r="122" spans="2:33">
      <c r="B122" s="283" t="s">
        <v>935</v>
      </c>
      <c r="C122" s="305">
        <f>IFERROR(SUMIF(初度設備!$C$30:$C$74,B122,初度設備!$K$30:$K$74)*((初度設備!$H$3-初度設備!$I$3)/初度設備!$H$3),0)</f>
        <v>0</v>
      </c>
      <c r="D122" s="306">
        <f t="shared" si="20"/>
        <v>0</v>
      </c>
      <c r="E122" s="305">
        <f>IFERROR(SUMIF(人工呼吸器!$C$30:$C$74,B122,人工呼吸器!$K$30:$K$74)*((人工呼吸器!$H$3-人工呼吸器!$I$3)/人工呼吸器!$H$3),0)</f>
        <v>0</v>
      </c>
      <c r="F122" s="306">
        <f t="shared" si="21"/>
        <v>0</v>
      </c>
      <c r="G122" s="306">
        <f t="shared" si="22"/>
        <v>0</v>
      </c>
      <c r="H122" s="306">
        <f t="shared" si="23"/>
        <v>0</v>
      </c>
      <c r="I122" s="305">
        <f>IFERROR(SUMIF(簡易陰圧装置!$C$30:$C$74,B122,簡易陰圧装置!$K$30:$K$74)*((簡易陰圧装置!$H$3-簡易陰圧装置!$I$3)/簡易陰圧装置!$H$3),0)</f>
        <v>0</v>
      </c>
      <c r="J122" s="306">
        <f t="shared" si="24"/>
        <v>0</v>
      </c>
      <c r="K122" s="305">
        <f>IFERROR(SUMIF(簡易ベッド!$C$30:$C$74,B122,簡易ベッド!$K$30:$K$74)*((簡易ベッド!$H$3-簡易ベッド!$I$3)/簡易ベッド!$H$3),0)</f>
        <v>0</v>
      </c>
      <c r="L122" s="306">
        <f t="shared" si="25"/>
        <v>0</v>
      </c>
      <c r="M122" s="305">
        <f>IFERROR(SUMIF(体外式膜型人工肺!$C$30:$C$74,B122,体外式膜型人工肺!$K$30:$K$74)*((体外式膜型人工肺!$H$3-体外式膜型人工肺!$I$3)/体外式膜型人工肺!$H$3),0)</f>
        <v>0</v>
      </c>
      <c r="N122" s="306">
        <f t="shared" si="26"/>
        <v>0</v>
      </c>
      <c r="O122" s="306">
        <f t="shared" si="27"/>
        <v>0</v>
      </c>
      <c r="P122" s="306">
        <f t="shared" si="28"/>
        <v>0</v>
      </c>
      <c r="Q122" s="305">
        <f>IFERROR(SUMIF(紫外線照射装置!$C$30:$C$74,B122,紫外線照射装置!$K$30:$K$74)*((紫外線照射装置!$H$3-紫外線照射装置!$I$3)/紫外線照射装置!$H$3),0)</f>
        <v>0</v>
      </c>
      <c r="R122" s="306">
        <f t="shared" si="29"/>
        <v>0</v>
      </c>
      <c r="S122" s="419">
        <f t="shared" si="30"/>
        <v>0</v>
      </c>
      <c r="T122" s="305">
        <f>IFERROR(SUMIF(超音波画像診断装置!$C$30:$C$74,B122,超音波画像診断装置!$K$30:$K$74)*((超音波画像診断装置!$H$3-超音波画像診断装置!$I$3)/超音波画像診断装置!$H$3),0)</f>
        <v>0</v>
      </c>
      <c r="U122" s="306">
        <f t="shared" si="31"/>
        <v>0</v>
      </c>
      <c r="V122" s="305">
        <f>IFERROR(SUMIF(血液浄化装置!$C$30:$C$74,B122,血液浄化装置!$K$30:$K$74)*((血液浄化装置!$H$3-血液浄化装置!$I$3)/血液浄化装置!$H$3),0)</f>
        <v>0</v>
      </c>
      <c r="W122" s="306">
        <f t="shared" si="32"/>
        <v>0</v>
      </c>
      <c r="X122" s="305">
        <f>IFERROR(SUMIF(気管支鏡!$C$30:$C$74,B122,気管支鏡!$K$30:$K$74)*((気管支鏡!$H$3-気管支鏡!$I$3)/気管支鏡!$H$3),0)</f>
        <v>0</v>
      </c>
      <c r="Y122" s="306">
        <f t="shared" si="18"/>
        <v>0</v>
      </c>
      <c r="Z122" s="305">
        <f>IFERROR(SUMIF(CT撮影装置!$C$30:$C$74,B122,CT撮影装置!$K$30:$K$74)*((CT撮影装置!$H$3-CT撮影装置!$I$3)/CT撮影装置!$H$3),0)</f>
        <v>0</v>
      </c>
      <c r="AA122" s="306">
        <f t="shared" si="33"/>
        <v>0</v>
      </c>
      <c r="AB122" s="305">
        <f>IFERROR(SUMIF(生体情報モニタ!$C$30:$C$74,B122,生体情報モニタ!$K$30:$K$74)*((生体情報モニタ!$H$3-生体情報モニタ!$I$3)/生体情報モニタ!$H$3),0)</f>
        <v>0</v>
      </c>
      <c r="AC122" s="306">
        <f t="shared" si="19"/>
        <v>0</v>
      </c>
      <c r="AD122" s="305">
        <f>IFERROR(SUMIF(分娩監視装置!$C$30:$C$74,B122,分娩監視装置!$K$30:$K$74)*((分娩監視装置!$H$3-分娩監視装置!$I$3)/分娩監視装置!$H$3),0)</f>
        <v>0</v>
      </c>
      <c r="AE122" s="306">
        <f t="shared" si="34"/>
        <v>0</v>
      </c>
      <c r="AF122" s="305">
        <f>IFERROR(SUMIF(新生児モニタ!$C$30:$C$74,B122,新生児モニタ!$K$30:$K$74)*((新生児モニタ!$H$3-新生児モニタ!$I$3)/新生児モニタ!$H$3),0)</f>
        <v>0</v>
      </c>
      <c r="AG122" s="306">
        <f t="shared" si="35"/>
        <v>0</v>
      </c>
    </row>
    <row r="123" spans="2:33">
      <c r="B123" s="283" t="s">
        <v>936</v>
      </c>
      <c r="C123" s="305">
        <f>IFERROR(SUMIF(初度設備!$C$30:$C$74,B123,初度設備!$K$30:$K$74)*((初度設備!$H$3-初度設備!$I$3)/初度設備!$H$3),0)</f>
        <v>0</v>
      </c>
      <c r="D123" s="306">
        <f t="shared" si="20"/>
        <v>0</v>
      </c>
      <c r="E123" s="305">
        <f>IFERROR(SUMIF(人工呼吸器!$C$30:$C$74,B123,人工呼吸器!$K$30:$K$74)*((人工呼吸器!$H$3-人工呼吸器!$I$3)/人工呼吸器!$H$3),0)</f>
        <v>0</v>
      </c>
      <c r="F123" s="306">
        <f t="shared" si="21"/>
        <v>0</v>
      </c>
      <c r="G123" s="306">
        <f t="shared" si="22"/>
        <v>0</v>
      </c>
      <c r="H123" s="306">
        <f t="shared" si="23"/>
        <v>0</v>
      </c>
      <c r="I123" s="305">
        <f>IFERROR(SUMIF(簡易陰圧装置!$C$30:$C$74,B123,簡易陰圧装置!$K$30:$K$74)*((簡易陰圧装置!$H$3-簡易陰圧装置!$I$3)/簡易陰圧装置!$H$3),0)</f>
        <v>0</v>
      </c>
      <c r="J123" s="306">
        <f t="shared" si="24"/>
        <v>0</v>
      </c>
      <c r="K123" s="305">
        <f>IFERROR(SUMIF(簡易ベッド!$C$30:$C$74,B123,簡易ベッド!$K$30:$K$74)*((簡易ベッド!$H$3-簡易ベッド!$I$3)/簡易ベッド!$H$3),0)</f>
        <v>0</v>
      </c>
      <c r="L123" s="306">
        <f t="shared" si="25"/>
        <v>0</v>
      </c>
      <c r="M123" s="305">
        <f>IFERROR(SUMIF(体外式膜型人工肺!$C$30:$C$74,B123,体外式膜型人工肺!$K$30:$K$74)*((体外式膜型人工肺!$H$3-体外式膜型人工肺!$I$3)/体外式膜型人工肺!$H$3),0)</f>
        <v>0</v>
      </c>
      <c r="N123" s="306">
        <f t="shared" si="26"/>
        <v>0</v>
      </c>
      <c r="O123" s="306">
        <f t="shared" si="27"/>
        <v>0</v>
      </c>
      <c r="P123" s="306">
        <f t="shared" si="28"/>
        <v>0</v>
      </c>
      <c r="Q123" s="305">
        <f>IFERROR(SUMIF(紫外線照射装置!$C$30:$C$74,B123,紫外線照射装置!$K$30:$K$74)*((紫外線照射装置!$H$3-紫外線照射装置!$I$3)/紫外線照射装置!$H$3),0)</f>
        <v>0</v>
      </c>
      <c r="R123" s="306">
        <f t="shared" si="29"/>
        <v>0</v>
      </c>
      <c r="S123" s="419">
        <f t="shared" si="30"/>
        <v>0</v>
      </c>
      <c r="T123" s="305">
        <f>IFERROR(SUMIF(超音波画像診断装置!$C$30:$C$74,B123,超音波画像診断装置!$K$30:$K$74)*((超音波画像診断装置!$H$3-超音波画像診断装置!$I$3)/超音波画像診断装置!$H$3),0)</f>
        <v>0</v>
      </c>
      <c r="U123" s="306">
        <f t="shared" si="31"/>
        <v>0</v>
      </c>
      <c r="V123" s="305">
        <f>IFERROR(SUMIF(血液浄化装置!$C$30:$C$74,B123,血液浄化装置!$K$30:$K$74)*((血液浄化装置!$H$3-血液浄化装置!$I$3)/血液浄化装置!$H$3),0)</f>
        <v>0</v>
      </c>
      <c r="W123" s="306">
        <f t="shared" si="32"/>
        <v>0</v>
      </c>
      <c r="X123" s="305">
        <f>IFERROR(SUMIF(気管支鏡!$C$30:$C$74,B123,気管支鏡!$K$30:$K$74)*((気管支鏡!$H$3-気管支鏡!$I$3)/気管支鏡!$H$3),0)</f>
        <v>0</v>
      </c>
      <c r="Y123" s="306">
        <f t="shared" si="18"/>
        <v>0</v>
      </c>
      <c r="Z123" s="305">
        <f>IFERROR(SUMIF(CT撮影装置!$C$30:$C$74,B123,CT撮影装置!$K$30:$K$74)*((CT撮影装置!$H$3-CT撮影装置!$I$3)/CT撮影装置!$H$3),0)</f>
        <v>0</v>
      </c>
      <c r="AA123" s="306">
        <f t="shared" si="33"/>
        <v>0</v>
      </c>
      <c r="AB123" s="305">
        <f>IFERROR(SUMIF(生体情報モニタ!$C$30:$C$74,B123,生体情報モニタ!$K$30:$K$74)*((生体情報モニタ!$H$3-生体情報モニタ!$I$3)/生体情報モニタ!$H$3),0)</f>
        <v>0</v>
      </c>
      <c r="AC123" s="306">
        <f t="shared" si="19"/>
        <v>0</v>
      </c>
      <c r="AD123" s="305">
        <f>IFERROR(SUMIF(分娩監視装置!$C$30:$C$74,B123,分娩監視装置!$K$30:$K$74)*((分娩監視装置!$H$3-分娩監視装置!$I$3)/分娩監視装置!$H$3),0)</f>
        <v>0</v>
      </c>
      <c r="AE123" s="306">
        <f t="shared" si="34"/>
        <v>0</v>
      </c>
      <c r="AF123" s="305">
        <f>IFERROR(SUMIF(新生児モニタ!$C$30:$C$74,B123,新生児モニタ!$K$30:$K$74)*((新生児モニタ!$H$3-新生児モニタ!$I$3)/新生児モニタ!$H$3),0)</f>
        <v>0</v>
      </c>
      <c r="AG123" s="306">
        <f t="shared" si="35"/>
        <v>0</v>
      </c>
    </row>
    <row r="124" spans="2:33">
      <c r="B124" s="283" t="s">
        <v>937</v>
      </c>
      <c r="C124" s="305">
        <f>IFERROR(SUMIF(初度設備!$C$30:$C$74,B124,初度設備!$K$30:$K$74)*((初度設備!$H$3-初度設備!$I$3)/初度設備!$H$3),0)</f>
        <v>0</v>
      </c>
      <c r="D124" s="306">
        <f t="shared" si="20"/>
        <v>0</v>
      </c>
      <c r="E124" s="305">
        <f>IFERROR(SUMIF(人工呼吸器!$C$30:$C$74,B124,人工呼吸器!$K$30:$K$74)*((人工呼吸器!$H$3-人工呼吸器!$I$3)/人工呼吸器!$H$3),0)</f>
        <v>0</v>
      </c>
      <c r="F124" s="306">
        <f t="shared" si="21"/>
        <v>0</v>
      </c>
      <c r="G124" s="306">
        <f t="shared" si="22"/>
        <v>0</v>
      </c>
      <c r="H124" s="306">
        <f t="shared" si="23"/>
        <v>0</v>
      </c>
      <c r="I124" s="305">
        <f>IFERROR(SUMIF(簡易陰圧装置!$C$30:$C$74,B124,簡易陰圧装置!$K$30:$K$74)*((簡易陰圧装置!$H$3-簡易陰圧装置!$I$3)/簡易陰圧装置!$H$3),0)</f>
        <v>0</v>
      </c>
      <c r="J124" s="306">
        <f t="shared" si="24"/>
        <v>0</v>
      </c>
      <c r="K124" s="305">
        <f>IFERROR(SUMIF(簡易ベッド!$C$30:$C$74,B124,簡易ベッド!$K$30:$K$74)*((簡易ベッド!$H$3-簡易ベッド!$I$3)/簡易ベッド!$H$3),0)</f>
        <v>0</v>
      </c>
      <c r="L124" s="306">
        <f t="shared" si="25"/>
        <v>0</v>
      </c>
      <c r="M124" s="305">
        <f>IFERROR(SUMIF(体外式膜型人工肺!$C$30:$C$74,B124,体外式膜型人工肺!$K$30:$K$74)*((体外式膜型人工肺!$H$3-体外式膜型人工肺!$I$3)/体外式膜型人工肺!$H$3),0)</f>
        <v>0</v>
      </c>
      <c r="N124" s="306">
        <f t="shared" si="26"/>
        <v>0</v>
      </c>
      <c r="O124" s="306">
        <f t="shared" si="27"/>
        <v>0</v>
      </c>
      <c r="P124" s="306">
        <f t="shared" si="28"/>
        <v>0</v>
      </c>
      <c r="Q124" s="305">
        <f>IFERROR(SUMIF(紫外線照射装置!$C$30:$C$74,B124,紫外線照射装置!$K$30:$K$74)*((紫外線照射装置!$H$3-紫外線照射装置!$I$3)/紫外線照射装置!$H$3),0)</f>
        <v>0</v>
      </c>
      <c r="R124" s="306">
        <f t="shared" si="29"/>
        <v>0</v>
      </c>
      <c r="S124" s="419">
        <f t="shared" si="30"/>
        <v>0</v>
      </c>
      <c r="T124" s="305">
        <f>IFERROR(SUMIF(超音波画像診断装置!$C$30:$C$74,B124,超音波画像診断装置!$K$30:$K$74)*((超音波画像診断装置!$H$3-超音波画像診断装置!$I$3)/超音波画像診断装置!$H$3),0)</f>
        <v>0</v>
      </c>
      <c r="U124" s="306">
        <f t="shared" si="31"/>
        <v>0</v>
      </c>
      <c r="V124" s="305">
        <f>IFERROR(SUMIF(血液浄化装置!$C$30:$C$74,B124,血液浄化装置!$K$30:$K$74)*((血液浄化装置!$H$3-血液浄化装置!$I$3)/血液浄化装置!$H$3),0)</f>
        <v>0</v>
      </c>
      <c r="W124" s="306">
        <f t="shared" si="32"/>
        <v>0</v>
      </c>
      <c r="X124" s="305">
        <f>IFERROR(SUMIF(気管支鏡!$C$30:$C$74,B124,気管支鏡!$K$30:$K$74)*((気管支鏡!$H$3-気管支鏡!$I$3)/気管支鏡!$H$3),0)</f>
        <v>0</v>
      </c>
      <c r="Y124" s="306">
        <f t="shared" si="18"/>
        <v>0</v>
      </c>
      <c r="Z124" s="305">
        <f>IFERROR(SUMIF(CT撮影装置!$C$30:$C$74,B124,CT撮影装置!$K$30:$K$74)*((CT撮影装置!$H$3-CT撮影装置!$I$3)/CT撮影装置!$H$3),0)</f>
        <v>0</v>
      </c>
      <c r="AA124" s="306">
        <f t="shared" si="33"/>
        <v>0</v>
      </c>
      <c r="AB124" s="305">
        <f>IFERROR(SUMIF(生体情報モニタ!$C$30:$C$74,B124,生体情報モニタ!$K$30:$K$74)*((生体情報モニタ!$H$3-生体情報モニタ!$I$3)/生体情報モニタ!$H$3),0)</f>
        <v>0</v>
      </c>
      <c r="AC124" s="306">
        <f t="shared" si="19"/>
        <v>0</v>
      </c>
      <c r="AD124" s="305">
        <f>IFERROR(SUMIF(分娩監視装置!$C$30:$C$74,B124,分娩監視装置!$K$30:$K$74)*((分娩監視装置!$H$3-分娩監視装置!$I$3)/分娩監視装置!$H$3),0)</f>
        <v>0</v>
      </c>
      <c r="AE124" s="306">
        <f t="shared" si="34"/>
        <v>0</v>
      </c>
      <c r="AF124" s="305">
        <f>IFERROR(SUMIF(新生児モニタ!$C$30:$C$74,B124,新生児モニタ!$K$30:$K$74)*((新生児モニタ!$H$3-新生児モニタ!$I$3)/新生児モニタ!$H$3),0)</f>
        <v>0</v>
      </c>
      <c r="AG124" s="306">
        <f t="shared" si="35"/>
        <v>0</v>
      </c>
    </row>
    <row r="125" spans="2:33">
      <c r="B125" s="283" t="s">
        <v>938</v>
      </c>
      <c r="C125" s="305">
        <f>IFERROR(SUMIF(初度設備!$C$30:$C$74,B125,初度設備!$K$30:$K$74)*((初度設備!$H$3-初度設備!$I$3)/初度設備!$H$3),0)</f>
        <v>0</v>
      </c>
      <c r="D125" s="306">
        <f t="shared" si="20"/>
        <v>0</v>
      </c>
      <c r="E125" s="305">
        <f>IFERROR(SUMIF(人工呼吸器!$C$30:$C$74,B125,人工呼吸器!$K$30:$K$74)*((人工呼吸器!$H$3-人工呼吸器!$I$3)/人工呼吸器!$H$3),0)</f>
        <v>0</v>
      </c>
      <c r="F125" s="306">
        <f t="shared" si="21"/>
        <v>0</v>
      </c>
      <c r="G125" s="306">
        <f t="shared" si="22"/>
        <v>0</v>
      </c>
      <c r="H125" s="306">
        <f t="shared" si="23"/>
        <v>0</v>
      </c>
      <c r="I125" s="305">
        <f>IFERROR(SUMIF(簡易陰圧装置!$C$30:$C$74,B125,簡易陰圧装置!$K$30:$K$74)*((簡易陰圧装置!$H$3-簡易陰圧装置!$I$3)/簡易陰圧装置!$H$3),0)</f>
        <v>0</v>
      </c>
      <c r="J125" s="306">
        <f t="shared" si="24"/>
        <v>0</v>
      </c>
      <c r="K125" s="305">
        <f>IFERROR(SUMIF(簡易ベッド!$C$30:$C$74,B125,簡易ベッド!$K$30:$K$74)*((簡易ベッド!$H$3-簡易ベッド!$I$3)/簡易ベッド!$H$3),0)</f>
        <v>0</v>
      </c>
      <c r="L125" s="306">
        <f t="shared" si="25"/>
        <v>0</v>
      </c>
      <c r="M125" s="305">
        <f>IFERROR(SUMIF(体外式膜型人工肺!$C$30:$C$74,B125,体外式膜型人工肺!$K$30:$K$74)*((体外式膜型人工肺!$H$3-体外式膜型人工肺!$I$3)/体外式膜型人工肺!$H$3),0)</f>
        <v>0</v>
      </c>
      <c r="N125" s="306">
        <f t="shared" si="26"/>
        <v>0</v>
      </c>
      <c r="O125" s="306">
        <f t="shared" si="27"/>
        <v>0</v>
      </c>
      <c r="P125" s="306">
        <f t="shared" si="28"/>
        <v>0</v>
      </c>
      <c r="Q125" s="305">
        <f>IFERROR(SUMIF(紫外線照射装置!$C$30:$C$74,B125,紫外線照射装置!$K$30:$K$74)*((紫外線照射装置!$H$3-紫外線照射装置!$I$3)/紫外線照射装置!$H$3),0)</f>
        <v>0</v>
      </c>
      <c r="R125" s="306">
        <f t="shared" si="29"/>
        <v>0</v>
      </c>
      <c r="S125" s="419">
        <f t="shared" si="30"/>
        <v>0</v>
      </c>
      <c r="T125" s="305">
        <f>IFERROR(SUMIF(超音波画像診断装置!$C$30:$C$74,B125,超音波画像診断装置!$K$30:$K$74)*((超音波画像診断装置!$H$3-超音波画像診断装置!$I$3)/超音波画像診断装置!$H$3),0)</f>
        <v>0</v>
      </c>
      <c r="U125" s="306">
        <f t="shared" si="31"/>
        <v>0</v>
      </c>
      <c r="V125" s="305">
        <f>IFERROR(SUMIF(血液浄化装置!$C$30:$C$74,B125,血液浄化装置!$K$30:$K$74)*((血液浄化装置!$H$3-血液浄化装置!$I$3)/血液浄化装置!$H$3),0)</f>
        <v>0</v>
      </c>
      <c r="W125" s="306">
        <f t="shared" si="32"/>
        <v>0</v>
      </c>
      <c r="X125" s="305">
        <f>IFERROR(SUMIF(気管支鏡!$C$30:$C$74,B125,気管支鏡!$K$30:$K$74)*((気管支鏡!$H$3-気管支鏡!$I$3)/気管支鏡!$H$3),0)</f>
        <v>0</v>
      </c>
      <c r="Y125" s="306">
        <f t="shared" si="18"/>
        <v>0</v>
      </c>
      <c r="Z125" s="305">
        <f>IFERROR(SUMIF(CT撮影装置!$C$30:$C$74,B125,CT撮影装置!$K$30:$K$74)*((CT撮影装置!$H$3-CT撮影装置!$I$3)/CT撮影装置!$H$3),0)</f>
        <v>0</v>
      </c>
      <c r="AA125" s="306">
        <f t="shared" si="33"/>
        <v>0</v>
      </c>
      <c r="AB125" s="305">
        <f>IFERROR(SUMIF(生体情報モニタ!$C$30:$C$74,B125,生体情報モニタ!$K$30:$K$74)*((生体情報モニタ!$H$3-生体情報モニタ!$I$3)/生体情報モニタ!$H$3),0)</f>
        <v>0</v>
      </c>
      <c r="AC125" s="306">
        <f t="shared" si="19"/>
        <v>0</v>
      </c>
      <c r="AD125" s="305">
        <f>IFERROR(SUMIF(分娩監視装置!$C$30:$C$74,B125,分娩監視装置!$K$30:$K$74)*((分娩監視装置!$H$3-分娩監視装置!$I$3)/分娩監視装置!$H$3),0)</f>
        <v>0</v>
      </c>
      <c r="AE125" s="306">
        <f t="shared" si="34"/>
        <v>0</v>
      </c>
      <c r="AF125" s="305">
        <f>IFERROR(SUMIF(新生児モニタ!$C$30:$C$74,B125,新生児モニタ!$K$30:$K$74)*((新生児モニタ!$H$3-新生児モニタ!$I$3)/新生児モニタ!$H$3),0)</f>
        <v>0</v>
      </c>
      <c r="AG125" s="306">
        <f t="shared" si="35"/>
        <v>0</v>
      </c>
    </row>
    <row r="126" spans="2:33">
      <c r="B126" s="283" t="s">
        <v>939</v>
      </c>
      <c r="C126" s="305">
        <f>IFERROR(SUMIF(初度設備!$C$30:$C$74,B126,初度設備!$K$30:$K$74)*((初度設備!$H$3-初度設備!$I$3)/初度設備!$H$3),0)</f>
        <v>0</v>
      </c>
      <c r="D126" s="306">
        <f t="shared" si="20"/>
        <v>0</v>
      </c>
      <c r="E126" s="305">
        <f>IFERROR(SUMIF(人工呼吸器!$C$30:$C$74,B126,人工呼吸器!$K$30:$K$74)*((人工呼吸器!$H$3-人工呼吸器!$I$3)/人工呼吸器!$H$3),0)</f>
        <v>0</v>
      </c>
      <c r="F126" s="306">
        <f t="shared" si="21"/>
        <v>0</v>
      </c>
      <c r="G126" s="306">
        <f t="shared" si="22"/>
        <v>0</v>
      </c>
      <c r="H126" s="306">
        <f t="shared" si="23"/>
        <v>0</v>
      </c>
      <c r="I126" s="305">
        <f>IFERROR(SUMIF(簡易陰圧装置!$C$30:$C$74,B126,簡易陰圧装置!$K$30:$K$74)*((簡易陰圧装置!$H$3-簡易陰圧装置!$I$3)/簡易陰圧装置!$H$3),0)</f>
        <v>0</v>
      </c>
      <c r="J126" s="306">
        <f t="shared" si="24"/>
        <v>0</v>
      </c>
      <c r="K126" s="305">
        <f>IFERROR(SUMIF(簡易ベッド!$C$30:$C$74,B126,簡易ベッド!$K$30:$K$74)*((簡易ベッド!$H$3-簡易ベッド!$I$3)/簡易ベッド!$H$3),0)</f>
        <v>0</v>
      </c>
      <c r="L126" s="306">
        <f t="shared" si="25"/>
        <v>0</v>
      </c>
      <c r="M126" s="305">
        <f>IFERROR(SUMIF(体外式膜型人工肺!$C$30:$C$74,B126,体外式膜型人工肺!$K$30:$K$74)*((体外式膜型人工肺!$H$3-体外式膜型人工肺!$I$3)/体外式膜型人工肺!$H$3),0)</f>
        <v>0</v>
      </c>
      <c r="N126" s="306">
        <f t="shared" si="26"/>
        <v>0</v>
      </c>
      <c r="O126" s="306">
        <f t="shared" si="27"/>
        <v>0</v>
      </c>
      <c r="P126" s="306">
        <f t="shared" si="28"/>
        <v>0</v>
      </c>
      <c r="Q126" s="305">
        <f>IFERROR(SUMIF(紫外線照射装置!$C$30:$C$74,B126,紫外線照射装置!$K$30:$K$74)*((紫外線照射装置!$H$3-紫外線照射装置!$I$3)/紫外線照射装置!$H$3),0)</f>
        <v>0</v>
      </c>
      <c r="R126" s="306">
        <f t="shared" si="29"/>
        <v>0</v>
      </c>
      <c r="S126" s="419">
        <f t="shared" si="30"/>
        <v>0</v>
      </c>
      <c r="T126" s="305">
        <f>IFERROR(SUMIF(超音波画像診断装置!$C$30:$C$74,B126,超音波画像診断装置!$K$30:$K$74)*((超音波画像診断装置!$H$3-超音波画像診断装置!$I$3)/超音波画像診断装置!$H$3),0)</f>
        <v>0</v>
      </c>
      <c r="U126" s="306">
        <f t="shared" si="31"/>
        <v>0</v>
      </c>
      <c r="V126" s="305">
        <f>IFERROR(SUMIF(血液浄化装置!$C$30:$C$74,B126,血液浄化装置!$K$30:$K$74)*((血液浄化装置!$H$3-血液浄化装置!$I$3)/血液浄化装置!$H$3),0)</f>
        <v>0</v>
      </c>
      <c r="W126" s="306">
        <f t="shared" si="32"/>
        <v>0</v>
      </c>
      <c r="X126" s="305">
        <f>IFERROR(SUMIF(気管支鏡!$C$30:$C$74,B126,気管支鏡!$K$30:$K$74)*((気管支鏡!$H$3-気管支鏡!$I$3)/気管支鏡!$H$3),0)</f>
        <v>0</v>
      </c>
      <c r="Y126" s="306">
        <f t="shared" si="18"/>
        <v>0</v>
      </c>
      <c r="Z126" s="305">
        <f>IFERROR(SUMIF(CT撮影装置!$C$30:$C$74,B126,CT撮影装置!$K$30:$K$74)*((CT撮影装置!$H$3-CT撮影装置!$I$3)/CT撮影装置!$H$3),0)</f>
        <v>0</v>
      </c>
      <c r="AA126" s="306">
        <f t="shared" si="33"/>
        <v>0</v>
      </c>
      <c r="AB126" s="305">
        <f>IFERROR(SUMIF(生体情報モニタ!$C$30:$C$74,B126,生体情報モニタ!$K$30:$K$74)*((生体情報モニタ!$H$3-生体情報モニタ!$I$3)/生体情報モニタ!$H$3),0)</f>
        <v>0</v>
      </c>
      <c r="AC126" s="306">
        <f t="shared" si="19"/>
        <v>0</v>
      </c>
      <c r="AD126" s="305">
        <f>IFERROR(SUMIF(分娩監視装置!$C$30:$C$74,B126,分娩監視装置!$K$30:$K$74)*((分娩監視装置!$H$3-分娩監視装置!$I$3)/分娩監視装置!$H$3),0)</f>
        <v>0</v>
      </c>
      <c r="AE126" s="306">
        <f t="shared" si="34"/>
        <v>0</v>
      </c>
      <c r="AF126" s="305">
        <f>IFERROR(SUMIF(新生児モニタ!$C$30:$C$74,B126,新生児モニタ!$K$30:$K$74)*((新生児モニタ!$H$3-新生児モニタ!$I$3)/新生児モニタ!$H$3),0)</f>
        <v>0</v>
      </c>
      <c r="AG126" s="306">
        <f t="shared" si="35"/>
        <v>0</v>
      </c>
    </row>
    <row r="127" spans="2:33">
      <c r="B127" s="283" t="s">
        <v>940</v>
      </c>
      <c r="C127" s="305">
        <f>IFERROR(SUMIF(初度設備!$C$30:$C$74,B127,初度設備!$K$30:$K$74)*((初度設備!$H$3-初度設備!$I$3)/初度設備!$H$3),0)</f>
        <v>0</v>
      </c>
      <c r="D127" s="306">
        <f t="shared" si="20"/>
        <v>0</v>
      </c>
      <c r="E127" s="305">
        <f>IFERROR(SUMIF(人工呼吸器!$C$30:$C$74,B127,人工呼吸器!$K$30:$K$74)*((人工呼吸器!$H$3-人工呼吸器!$I$3)/人工呼吸器!$H$3),0)</f>
        <v>0</v>
      </c>
      <c r="F127" s="306">
        <f t="shared" si="21"/>
        <v>0</v>
      </c>
      <c r="G127" s="306">
        <f t="shared" si="22"/>
        <v>0</v>
      </c>
      <c r="H127" s="306">
        <f t="shared" si="23"/>
        <v>0</v>
      </c>
      <c r="I127" s="305">
        <f>IFERROR(SUMIF(簡易陰圧装置!$C$30:$C$74,B127,簡易陰圧装置!$K$30:$K$74)*((簡易陰圧装置!$H$3-簡易陰圧装置!$I$3)/簡易陰圧装置!$H$3),0)</f>
        <v>0</v>
      </c>
      <c r="J127" s="306">
        <f t="shared" si="24"/>
        <v>0</v>
      </c>
      <c r="K127" s="305">
        <f>IFERROR(SUMIF(簡易ベッド!$C$30:$C$74,B127,簡易ベッド!$K$30:$K$74)*((簡易ベッド!$H$3-簡易ベッド!$I$3)/簡易ベッド!$H$3),0)</f>
        <v>0</v>
      </c>
      <c r="L127" s="306">
        <f t="shared" si="25"/>
        <v>0</v>
      </c>
      <c r="M127" s="305">
        <f>IFERROR(SUMIF(体外式膜型人工肺!$C$30:$C$74,B127,体外式膜型人工肺!$K$30:$K$74)*((体外式膜型人工肺!$H$3-体外式膜型人工肺!$I$3)/体外式膜型人工肺!$H$3),0)</f>
        <v>0</v>
      </c>
      <c r="N127" s="306">
        <f t="shared" si="26"/>
        <v>0</v>
      </c>
      <c r="O127" s="306">
        <f t="shared" si="27"/>
        <v>0</v>
      </c>
      <c r="P127" s="306">
        <f t="shared" si="28"/>
        <v>0</v>
      </c>
      <c r="Q127" s="305">
        <f>IFERROR(SUMIF(紫外線照射装置!$C$30:$C$74,B127,紫外線照射装置!$K$30:$K$74)*((紫外線照射装置!$H$3-紫外線照射装置!$I$3)/紫外線照射装置!$H$3),0)</f>
        <v>0</v>
      </c>
      <c r="R127" s="306">
        <f t="shared" si="29"/>
        <v>0</v>
      </c>
      <c r="S127" s="419">
        <f t="shared" si="30"/>
        <v>0</v>
      </c>
      <c r="T127" s="305">
        <f>IFERROR(SUMIF(超音波画像診断装置!$C$30:$C$74,B127,超音波画像診断装置!$K$30:$K$74)*((超音波画像診断装置!$H$3-超音波画像診断装置!$I$3)/超音波画像診断装置!$H$3),0)</f>
        <v>0</v>
      </c>
      <c r="U127" s="306">
        <f t="shared" si="31"/>
        <v>0</v>
      </c>
      <c r="V127" s="305">
        <f>IFERROR(SUMIF(血液浄化装置!$C$30:$C$74,B127,血液浄化装置!$K$30:$K$74)*((血液浄化装置!$H$3-血液浄化装置!$I$3)/血液浄化装置!$H$3),0)</f>
        <v>0</v>
      </c>
      <c r="W127" s="306">
        <f t="shared" si="32"/>
        <v>0</v>
      </c>
      <c r="X127" s="305">
        <f>IFERROR(SUMIF(気管支鏡!$C$30:$C$74,B127,気管支鏡!$K$30:$K$74)*((気管支鏡!$H$3-気管支鏡!$I$3)/気管支鏡!$H$3),0)</f>
        <v>0</v>
      </c>
      <c r="Y127" s="306">
        <f t="shared" si="18"/>
        <v>0</v>
      </c>
      <c r="Z127" s="305">
        <f>IFERROR(SUMIF(CT撮影装置!$C$30:$C$74,B127,CT撮影装置!$K$30:$K$74)*((CT撮影装置!$H$3-CT撮影装置!$I$3)/CT撮影装置!$H$3),0)</f>
        <v>0</v>
      </c>
      <c r="AA127" s="306">
        <f t="shared" si="33"/>
        <v>0</v>
      </c>
      <c r="AB127" s="305">
        <f>IFERROR(SUMIF(生体情報モニタ!$C$30:$C$74,B127,生体情報モニタ!$K$30:$K$74)*((生体情報モニタ!$H$3-生体情報モニタ!$I$3)/生体情報モニタ!$H$3),0)</f>
        <v>0</v>
      </c>
      <c r="AC127" s="306">
        <f t="shared" si="19"/>
        <v>0</v>
      </c>
      <c r="AD127" s="305">
        <f>IFERROR(SUMIF(分娩監視装置!$C$30:$C$74,B127,分娩監視装置!$K$30:$K$74)*((分娩監視装置!$H$3-分娩監視装置!$I$3)/分娩監視装置!$H$3),0)</f>
        <v>0</v>
      </c>
      <c r="AE127" s="306">
        <f t="shared" si="34"/>
        <v>0</v>
      </c>
      <c r="AF127" s="305">
        <f>IFERROR(SUMIF(新生児モニタ!$C$30:$C$74,B127,新生児モニタ!$K$30:$K$74)*((新生児モニタ!$H$3-新生児モニタ!$I$3)/新生児モニタ!$H$3),0)</f>
        <v>0</v>
      </c>
      <c r="AG127" s="306">
        <f t="shared" si="35"/>
        <v>0</v>
      </c>
    </row>
    <row r="128" spans="2:33">
      <c r="B128" s="283" t="s">
        <v>941</v>
      </c>
      <c r="C128" s="305">
        <f>IFERROR(SUMIF(初度設備!$C$30:$C$74,B128,初度設備!$K$30:$K$74)*((初度設備!$H$3-初度設備!$I$3)/初度設備!$H$3),0)</f>
        <v>0</v>
      </c>
      <c r="D128" s="306">
        <f t="shared" si="20"/>
        <v>0</v>
      </c>
      <c r="E128" s="305">
        <f>IFERROR(SUMIF(人工呼吸器!$C$30:$C$74,B128,人工呼吸器!$K$30:$K$74)*((人工呼吸器!$H$3-人工呼吸器!$I$3)/人工呼吸器!$H$3),0)</f>
        <v>0</v>
      </c>
      <c r="F128" s="306">
        <f t="shared" si="21"/>
        <v>0</v>
      </c>
      <c r="G128" s="306">
        <f t="shared" si="22"/>
        <v>0</v>
      </c>
      <c r="H128" s="306">
        <f t="shared" si="23"/>
        <v>0</v>
      </c>
      <c r="I128" s="305">
        <f>IFERROR(SUMIF(簡易陰圧装置!$C$30:$C$74,B128,簡易陰圧装置!$K$30:$K$74)*((簡易陰圧装置!$H$3-簡易陰圧装置!$I$3)/簡易陰圧装置!$H$3),0)</f>
        <v>0</v>
      </c>
      <c r="J128" s="306">
        <f t="shared" si="24"/>
        <v>0</v>
      </c>
      <c r="K128" s="305">
        <f>IFERROR(SUMIF(簡易ベッド!$C$30:$C$74,B128,簡易ベッド!$K$30:$K$74)*((簡易ベッド!$H$3-簡易ベッド!$I$3)/簡易ベッド!$H$3),0)</f>
        <v>0</v>
      </c>
      <c r="L128" s="306">
        <f t="shared" si="25"/>
        <v>0</v>
      </c>
      <c r="M128" s="305">
        <f>IFERROR(SUMIF(体外式膜型人工肺!$C$30:$C$74,B128,体外式膜型人工肺!$K$30:$K$74)*((体外式膜型人工肺!$H$3-体外式膜型人工肺!$I$3)/体外式膜型人工肺!$H$3),0)</f>
        <v>0</v>
      </c>
      <c r="N128" s="306">
        <f t="shared" si="26"/>
        <v>0</v>
      </c>
      <c r="O128" s="306">
        <f t="shared" si="27"/>
        <v>0</v>
      </c>
      <c r="P128" s="306">
        <f t="shared" si="28"/>
        <v>0</v>
      </c>
      <c r="Q128" s="305">
        <f>IFERROR(SUMIF(紫外線照射装置!$C$30:$C$74,B128,紫外線照射装置!$K$30:$K$74)*((紫外線照射装置!$H$3-紫外線照射装置!$I$3)/紫外線照射装置!$H$3),0)</f>
        <v>0</v>
      </c>
      <c r="R128" s="306">
        <f t="shared" si="29"/>
        <v>0</v>
      </c>
      <c r="S128" s="419">
        <f t="shared" si="30"/>
        <v>0</v>
      </c>
      <c r="T128" s="305">
        <f>IFERROR(SUMIF(超音波画像診断装置!$C$30:$C$74,B128,超音波画像診断装置!$K$30:$K$74)*((超音波画像診断装置!$H$3-超音波画像診断装置!$I$3)/超音波画像診断装置!$H$3),0)</f>
        <v>0</v>
      </c>
      <c r="U128" s="306">
        <f t="shared" si="31"/>
        <v>0</v>
      </c>
      <c r="V128" s="305">
        <f>IFERROR(SUMIF(血液浄化装置!$C$30:$C$74,B128,血液浄化装置!$K$30:$K$74)*((血液浄化装置!$H$3-血液浄化装置!$I$3)/血液浄化装置!$H$3),0)</f>
        <v>0</v>
      </c>
      <c r="W128" s="306">
        <f t="shared" si="32"/>
        <v>0</v>
      </c>
      <c r="X128" s="305">
        <f>IFERROR(SUMIF(気管支鏡!$C$30:$C$74,B128,気管支鏡!$K$30:$K$74)*((気管支鏡!$H$3-気管支鏡!$I$3)/気管支鏡!$H$3),0)</f>
        <v>0</v>
      </c>
      <c r="Y128" s="306">
        <f t="shared" si="18"/>
        <v>0</v>
      </c>
      <c r="Z128" s="305">
        <f>IFERROR(SUMIF(CT撮影装置!$C$30:$C$74,B128,CT撮影装置!$K$30:$K$74)*((CT撮影装置!$H$3-CT撮影装置!$I$3)/CT撮影装置!$H$3),0)</f>
        <v>0</v>
      </c>
      <c r="AA128" s="306">
        <f t="shared" si="33"/>
        <v>0</v>
      </c>
      <c r="AB128" s="305">
        <f>IFERROR(SUMIF(生体情報モニタ!$C$30:$C$74,B128,生体情報モニタ!$K$30:$K$74)*((生体情報モニタ!$H$3-生体情報モニタ!$I$3)/生体情報モニタ!$H$3),0)</f>
        <v>0</v>
      </c>
      <c r="AC128" s="306">
        <f t="shared" si="19"/>
        <v>0</v>
      </c>
      <c r="AD128" s="305">
        <f>IFERROR(SUMIF(分娩監視装置!$C$30:$C$74,B128,分娩監視装置!$K$30:$K$74)*((分娩監視装置!$H$3-分娩監視装置!$I$3)/分娩監視装置!$H$3),0)</f>
        <v>0</v>
      </c>
      <c r="AE128" s="306">
        <f t="shared" si="34"/>
        <v>0</v>
      </c>
      <c r="AF128" s="305">
        <f>IFERROR(SUMIF(新生児モニタ!$C$30:$C$74,B128,新生児モニタ!$K$30:$K$74)*((新生児モニタ!$H$3-新生児モニタ!$I$3)/新生児モニタ!$H$3),0)</f>
        <v>0</v>
      </c>
      <c r="AG128" s="306">
        <f t="shared" si="35"/>
        <v>0</v>
      </c>
    </row>
    <row r="129" spans="2:33">
      <c r="B129" s="283" t="s">
        <v>942</v>
      </c>
      <c r="C129" s="305">
        <f>IFERROR(SUMIF(初度設備!$C$30:$C$74,B129,初度設備!$K$30:$K$74)*((初度設備!$H$3-初度設備!$I$3)/初度設備!$H$3),0)</f>
        <v>0</v>
      </c>
      <c r="D129" s="306">
        <f t="shared" si="20"/>
        <v>0</v>
      </c>
      <c r="E129" s="305">
        <f>IFERROR(SUMIF(人工呼吸器!$C$30:$C$74,B129,人工呼吸器!$K$30:$K$74)*((人工呼吸器!$H$3-人工呼吸器!$I$3)/人工呼吸器!$H$3),0)</f>
        <v>0</v>
      </c>
      <c r="F129" s="306">
        <f t="shared" si="21"/>
        <v>0</v>
      </c>
      <c r="G129" s="306">
        <f t="shared" si="22"/>
        <v>0</v>
      </c>
      <c r="H129" s="306">
        <f t="shared" si="23"/>
        <v>0</v>
      </c>
      <c r="I129" s="305">
        <f>IFERROR(SUMIF(簡易陰圧装置!$C$30:$C$74,B129,簡易陰圧装置!$K$30:$K$74)*((簡易陰圧装置!$H$3-簡易陰圧装置!$I$3)/簡易陰圧装置!$H$3),0)</f>
        <v>0</v>
      </c>
      <c r="J129" s="306">
        <f t="shared" si="24"/>
        <v>0</v>
      </c>
      <c r="K129" s="305">
        <f>IFERROR(SUMIF(簡易ベッド!$C$30:$C$74,B129,簡易ベッド!$K$30:$K$74)*((簡易ベッド!$H$3-簡易ベッド!$I$3)/簡易ベッド!$H$3),0)</f>
        <v>0</v>
      </c>
      <c r="L129" s="306">
        <f t="shared" si="25"/>
        <v>0</v>
      </c>
      <c r="M129" s="305">
        <f>IFERROR(SUMIF(体外式膜型人工肺!$C$30:$C$74,B129,体外式膜型人工肺!$K$30:$K$74)*((体外式膜型人工肺!$H$3-体外式膜型人工肺!$I$3)/体外式膜型人工肺!$H$3),0)</f>
        <v>0</v>
      </c>
      <c r="N129" s="306">
        <f t="shared" si="26"/>
        <v>0</v>
      </c>
      <c r="O129" s="306">
        <f t="shared" si="27"/>
        <v>0</v>
      </c>
      <c r="P129" s="306">
        <f t="shared" si="28"/>
        <v>0</v>
      </c>
      <c r="Q129" s="305">
        <f>IFERROR(SUMIF(紫外線照射装置!$C$30:$C$74,B129,紫外線照射装置!$K$30:$K$74)*((紫外線照射装置!$H$3-紫外線照射装置!$I$3)/紫外線照射装置!$H$3),0)</f>
        <v>0</v>
      </c>
      <c r="R129" s="306">
        <f t="shared" si="29"/>
        <v>0</v>
      </c>
      <c r="S129" s="419">
        <f t="shared" si="30"/>
        <v>0</v>
      </c>
      <c r="T129" s="305">
        <f>IFERROR(SUMIF(超音波画像診断装置!$C$30:$C$74,B129,超音波画像診断装置!$K$30:$K$74)*((超音波画像診断装置!$H$3-超音波画像診断装置!$I$3)/超音波画像診断装置!$H$3),0)</f>
        <v>0</v>
      </c>
      <c r="U129" s="306">
        <f t="shared" si="31"/>
        <v>0</v>
      </c>
      <c r="V129" s="305">
        <f>IFERROR(SUMIF(血液浄化装置!$C$30:$C$74,B129,血液浄化装置!$K$30:$K$74)*((血液浄化装置!$H$3-血液浄化装置!$I$3)/血液浄化装置!$H$3),0)</f>
        <v>0</v>
      </c>
      <c r="W129" s="306">
        <f t="shared" si="32"/>
        <v>0</v>
      </c>
      <c r="X129" s="305">
        <f>IFERROR(SUMIF(気管支鏡!$C$30:$C$74,B129,気管支鏡!$K$30:$K$74)*((気管支鏡!$H$3-気管支鏡!$I$3)/気管支鏡!$H$3),0)</f>
        <v>0</v>
      </c>
      <c r="Y129" s="306">
        <f t="shared" si="18"/>
        <v>0</v>
      </c>
      <c r="Z129" s="305">
        <f>IFERROR(SUMIF(CT撮影装置!$C$30:$C$74,B129,CT撮影装置!$K$30:$K$74)*((CT撮影装置!$H$3-CT撮影装置!$I$3)/CT撮影装置!$H$3),0)</f>
        <v>0</v>
      </c>
      <c r="AA129" s="306">
        <f t="shared" si="33"/>
        <v>0</v>
      </c>
      <c r="AB129" s="305">
        <f>IFERROR(SUMIF(生体情報モニタ!$C$30:$C$74,B129,生体情報モニタ!$K$30:$K$74)*((生体情報モニタ!$H$3-生体情報モニタ!$I$3)/生体情報モニタ!$H$3),0)</f>
        <v>0</v>
      </c>
      <c r="AC129" s="306">
        <f t="shared" si="19"/>
        <v>0</v>
      </c>
      <c r="AD129" s="305">
        <f>IFERROR(SUMIF(分娩監視装置!$C$30:$C$74,B129,分娩監視装置!$K$30:$K$74)*((分娩監視装置!$H$3-分娩監視装置!$I$3)/分娩監視装置!$H$3),0)</f>
        <v>0</v>
      </c>
      <c r="AE129" s="306">
        <f t="shared" si="34"/>
        <v>0</v>
      </c>
      <c r="AF129" s="305">
        <f>IFERROR(SUMIF(新生児モニタ!$C$30:$C$74,B129,新生児モニタ!$K$30:$K$74)*((新生児モニタ!$H$3-新生児モニタ!$I$3)/新生児モニタ!$H$3),0)</f>
        <v>0</v>
      </c>
      <c r="AG129" s="306">
        <f t="shared" si="35"/>
        <v>0</v>
      </c>
    </row>
    <row r="130" spans="2:33">
      <c r="B130" s="283" t="s">
        <v>943</v>
      </c>
      <c r="C130" s="305">
        <f>IFERROR(SUMIF(初度設備!$C$30:$C$74,B130,初度設備!$K$30:$K$74)*((初度設備!$H$3-初度設備!$I$3)/初度設備!$H$3),0)</f>
        <v>0</v>
      </c>
      <c r="D130" s="306">
        <f t="shared" si="20"/>
        <v>0</v>
      </c>
      <c r="E130" s="305">
        <f>IFERROR(SUMIF(人工呼吸器!$C$30:$C$74,B130,人工呼吸器!$K$30:$K$74)*((人工呼吸器!$H$3-人工呼吸器!$I$3)/人工呼吸器!$H$3),0)</f>
        <v>0</v>
      </c>
      <c r="F130" s="306">
        <f t="shared" si="21"/>
        <v>0</v>
      </c>
      <c r="G130" s="306">
        <f t="shared" si="22"/>
        <v>0</v>
      </c>
      <c r="H130" s="306">
        <f t="shared" si="23"/>
        <v>0</v>
      </c>
      <c r="I130" s="305">
        <f>IFERROR(SUMIF(簡易陰圧装置!$C$30:$C$74,B130,簡易陰圧装置!$K$30:$K$74)*((簡易陰圧装置!$H$3-簡易陰圧装置!$I$3)/簡易陰圧装置!$H$3),0)</f>
        <v>0</v>
      </c>
      <c r="J130" s="306">
        <f t="shared" si="24"/>
        <v>0</v>
      </c>
      <c r="K130" s="305">
        <f>IFERROR(SUMIF(簡易ベッド!$C$30:$C$74,B130,簡易ベッド!$K$30:$K$74)*((簡易ベッド!$H$3-簡易ベッド!$I$3)/簡易ベッド!$H$3),0)</f>
        <v>0</v>
      </c>
      <c r="L130" s="306">
        <f t="shared" si="25"/>
        <v>0</v>
      </c>
      <c r="M130" s="305">
        <f>IFERROR(SUMIF(体外式膜型人工肺!$C$30:$C$74,B130,体外式膜型人工肺!$K$30:$K$74)*((体外式膜型人工肺!$H$3-体外式膜型人工肺!$I$3)/体外式膜型人工肺!$H$3),0)</f>
        <v>0</v>
      </c>
      <c r="N130" s="306">
        <f t="shared" si="26"/>
        <v>0</v>
      </c>
      <c r="O130" s="306">
        <f t="shared" si="27"/>
        <v>0</v>
      </c>
      <c r="P130" s="306">
        <f t="shared" si="28"/>
        <v>0</v>
      </c>
      <c r="Q130" s="305">
        <f>IFERROR(SUMIF(紫外線照射装置!$C$30:$C$74,B130,紫外線照射装置!$K$30:$K$74)*((紫外線照射装置!$H$3-紫外線照射装置!$I$3)/紫外線照射装置!$H$3),0)</f>
        <v>0</v>
      </c>
      <c r="R130" s="306">
        <f t="shared" si="29"/>
        <v>0</v>
      </c>
      <c r="S130" s="419">
        <f t="shared" si="30"/>
        <v>0</v>
      </c>
      <c r="T130" s="305">
        <f>IFERROR(SUMIF(超音波画像診断装置!$C$30:$C$74,B130,超音波画像診断装置!$K$30:$K$74)*((超音波画像診断装置!$H$3-超音波画像診断装置!$I$3)/超音波画像診断装置!$H$3),0)</f>
        <v>0</v>
      </c>
      <c r="U130" s="306">
        <f t="shared" si="31"/>
        <v>0</v>
      </c>
      <c r="V130" s="305">
        <f>IFERROR(SUMIF(血液浄化装置!$C$30:$C$74,B130,血液浄化装置!$K$30:$K$74)*((血液浄化装置!$H$3-血液浄化装置!$I$3)/血液浄化装置!$H$3),0)</f>
        <v>0</v>
      </c>
      <c r="W130" s="306">
        <f t="shared" si="32"/>
        <v>0</v>
      </c>
      <c r="X130" s="305">
        <f>IFERROR(SUMIF(気管支鏡!$C$30:$C$74,B130,気管支鏡!$K$30:$K$74)*((気管支鏡!$H$3-気管支鏡!$I$3)/気管支鏡!$H$3),0)</f>
        <v>0</v>
      </c>
      <c r="Y130" s="306">
        <f t="shared" si="18"/>
        <v>0</v>
      </c>
      <c r="Z130" s="305">
        <f>IFERROR(SUMIF(CT撮影装置!$C$30:$C$74,B130,CT撮影装置!$K$30:$K$74)*((CT撮影装置!$H$3-CT撮影装置!$I$3)/CT撮影装置!$H$3),0)</f>
        <v>0</v>
      </c>
      <c r="AA130" s="306">
        <f t="shared" si="33"/>
        <v>0</v>
      </c>
      <c r="AB130" s="305">
        <f>IFERROR(SUMIF(生体情報モニタ!$C$30:$C$74,B130,生体情報モニタ!$K$30:$K$74)*((生体情報モニタ!$H$3-生体情報モニタ!$I$3)/生体情報モニタ!$H$3),0)</f>
        <v>0</v>
      </c>
      <c r="AC130" s="306">
        <f t="shared" si="19"/>
        <v>0</v>
      </c>
      <c r="AD130" s="305">
        <f>IFERROR(SUMIF(分娩監視装置!$C$30:$C$74,B130,分娩監視装置!$K$30:$K$74)*((分娩監視装置!$H$3-分娩監視装置!$I$3)/分娩監視装置!$H$3),0)</f>
        <v>0</v>
      </c>
      <c r="AE130" s="306">
        <f t="shared" si="34"/>
        <v>0</v>
      </c>
      <c r="AF130" s="305">
        <f>IFERROR(SUMIF(新生児モニタ!$C$30:$C$74,B130,新生児モニタ!$K$30:$K$74)*((新生児モニタ!$H$3-新生児モニタ!$I$3)/新生児モニタ!$H$3),0)</f>
        <v>0</v>
      </c>
      <c r="AG130" s="306">
        <f t="shared" si="35"/>
        <v>0</v>
      </c>
    </row>
    <row r="131" spans="2:33">
      <c r="B131" s="283" t="s">
        <v>944</v>
      </c>
      <c r="C131" s="305">
        <f>IFERROR(SUMIF(初度設備!$C$30:$C$74,B131,初度設備!$K$30:$K$74)*((初度設備!$H$3-初度設備!$I$3)/初度設備!$H$3),0)</f>
        <v>0</v>
      </c>
      <c r="D131" s="306">
        <f t="shared" si="20"/>
        <v>0</v>
      </c>
      <c r="E131" s="305">
        <f>IFERROR(SUMIF(人工呼吸器!$C$30:$C$74,B131,人工呼吸器!$K$30:$K$74)*((人工呼吸器!$H$3-人工呼吸器!$I$3)/人工呼吸器!$H$3),0)</f>
        <v>0</v>
      </c>
      <c r="F131" s="306">
        <f t="shared" si="21"/>
        <v>0</v>
      </c>
      <c r="G131" s="306">
        <f t="shared" si="22"/>
        <v>0</v>
      </c>
      <c r="H131" s="306">
        <f t="shared" si="23"/>
        <v>0</v>
      </c>
      <c r="I131" s="305">
        <f>IFERROR(SUMIF(簡易陰圧装置!$C$30:$C$74,B131,簡易陰圧装置!$K$30:$K$74)*((簡易陰圧装置!$H$3-簡易陰圧装置!$I$3)/簡易陰圧装置!$H$3),0)</f>
        <v>0</v>
      </c>
      <c r="J131" s="306">
        <f t="shared" si="24"/>
        <v>0</v>
      </c>
      <c r="K131" s="305">
        <f>IFERROR(SUMIF(簡易ベッド!$C$30:$C$74,B131,簡易ベッド!$K$30:$K$74)*((簡易ベッド!$H$3-簡易ベッド!$I$3)/簡易ベッド!$H$3),0)</f>
        <v>0</v>
      </c>
      <c r="L131" s="306">
        <f t="shared" si="25"/>
        <v>0</v>
      </c>
      <c r="M131" s="305">
        <f>IFERROR(SUMIF(体外式膜型人工肺!$C$30:$C$74,B131,体外式膜型人工肺!$K$30:$K$74)*((体外式膜型人工肺!$H$3-体外式膜型人工肺!$I$3)/体外式膜型人工肺!$H$3),0)</f>
        <v>0</v>
      </c>
      <c r="N131" s="306">
        <f t="shared" si="26"/>
        <v>0</v>
      </c>
      <c r="O131" s="306">
        <f t="shared" si="27"/>
        <v>0</v>
      </c>
      <c r="P131" s="306">
        <f t="shared" si="28"/>
        <v>0</v>
      </c>
      <c r="Q131" s="305">
        <f>IFERROR(SUMIF(紫外線照射装置!$C$30:$C$74,B131,紫外線照射装置!$K$30:$K$74)*((紫外線照射装置!$H$3-紫外線照射装置!$I$3)/紫外線照射装置!$H$3),0)</f>
        <v>0</v>
      </c>
      <c r="R131" s="306">
        <f t="shared" si="29"/>
        <v>0</v>
      </c>
      <c r="S131" s="419">
        <f t="shared" si="30"/>
        <v>0</v>
      </c>
      <c r="T131" s="305">
        <f>IFERROR(SUMIF(超音波画像診断装置!$C$30:$C$74,B131,超音波画像診断装置!$K$30:$K$74)*((超音波画像診断装置!$H$3-超音波画像診断装置!$I$3)/超音波画像診断装置!$H$3),0)</f>
        <v>0</v>
      </c>
      <c r="U131" s="306">
        <f t="shared" si="31"/>
        <v>0</v>
      </c>
      <c r="V131" s="305">
        <f>IFERROR(SUMIF(血液浄化装置!$C$30:$C$74,B131,血液浄化装置!$K$30:$K$74)*((血液浄化装置!$H$3-血液浄化装置!$I$3)/血液浄化装置!$H$3),0)</f>
        <v>0</v>
      </c>
      <c r="W131" s="306">
        <f t="shared" si="32"/>
        <v>0</v>
      </c>
      <c r="X131" s="305">
        <f>IFERROR(SUMIF(気管支鏡!$C$30:$C$74,B131,気管支鏡!$K$30:$K$74)*((気管支鏡!$H$3-気管支鏡!$I$3)/気管支鏡!$H$3),0)</f>
        <v>0</v>
      </c>
      <c r="Y131" s="306">
        <f t="shared" si="18"/>
        <v>0</v>
      </c>
      <c r="Z131" s="305">
        <f>IFERROR(SUMIF(CT撮影装置!$C$30:$C$74,B131,CT撮影装置!$K$30:$K$74)*((CT撮影装置!$H$3-CT撮影装置!$I$3)/CT撮影装置!$H$3),0)</f>
        <v>0</v>
      </c>
      <c r="AA131" s="306">
        <f t="shared" si="33"/>
        <v>0</v>
      </c>
      <c r="AB131" s="305">
        <f>IFERROR(SUMIF(生体情報モニタ!$C$30:$C$74,B131,生体情報モニタ!$K$30:$K$74)*((生体情報モニタ!$H$3-生体情報モニタ!$I$3)/生体情報モニタ!$H$3),0)</f>
        <v>0</v>
      </c>
      <c r="AC131" s="306">
        <f t="shared" si="19"/>
        <v>0</v>
      </c>
      <c r="AD131" s="305">
        <f>IFERROR(SUMIF(分娩監視装置!$C$30:$C$74,B131,分娩監視装置!$K$30:$K$74)*((分娩監視装置!$H$3-分娩監視装置!$I$3)/分娩監視装置!$H$3),0)</f>
        <v>0</v>
      </c>
      <c r="AE131" s="306">
        <f t="shared" si="34"/>
        <v>0</v>
      </c>
      <c r="AF131" s="305">
        <f>IFERROR(SUMIF(新生児モニタ!$C$30:$C$74,B131,新生児モニタ!$K$30:$K$74)*((新生児モニタ!$H$3-新生児モニタ!$I$3)/新生児モニタ!$H$3),0)</f>
        <v>0</v>
      </c>
      <c r="AG131" s="306">
        <f t="shared" si="35"/>
        <v>0</v>
      </c>
    </row>
    <row r="132" spans="2:33">
      <c r="B132" s="283" t="s">
        <v>945</v>
      </c>
      <c r="C132" s="305">
        <f>IFERROR(SUMIF(初度設備!$C$30:$C$74,B132,初度設備!$K$30:$K$74)*((初度設備!$H$3-初度設備!$I$3)/初度設備!$H$3),0)</f>
        <v>0</v>
      </c>
      <c r="D132" s="306">
        <f t="shared" si="20"/>
        <v>0</v>
      </c>
      <c r="E132" s="305">
        <f>IFERROR(SUMIF(人工呼吸器!$C$30:$C$74,B132,人工呼吸器!$K$30:$K$74)*((人工呼吸器!$H$3-人工呼吸器!$I$3)/人工呼吸器!$H$3),0)</f>
        <v>0</v>
      </c>
      <c r="F132" s="306">
        <f t="shared" si="21"/>
        <v>0</v>
      </c>
      <c r="G132" s="306">
        <f t="shared" si="22"/>
        <v>0</v>
      </c>
      <c r="H132" s="306">
        <f t="shared" si="23"/>
        <v>0</v>
      </c>
      <c r="I132" s="305">
        <f>IFERROR(SUMIF(簡易陰圧装置!$C$30:$C$74,B132,簡易陰圧装置!$K$30:$K$74)*((簡易陰圧装置!$H$3-簡易陰圧装置!$I$3)/簡易陰圧装置!$H$3),0)</f>
        <v>0</v>
      </c>
      <c r="J132" s="306">
        <f t="shared" si="24"/>
        <v>0</v>
      </c>
      <c r="K132" s="305">
        <f>IFERROR(SUMIF(簡易ベッド!$C$30:$C$74,B132,簡易ベッド!$K$30:$K$74)*((簡易ベッド!$H$3-簡易ベッド!$I$3)/簡易ベッド!$H$3),0)</f>
        <v>0</v>
      </c>
      <c r="L132" s="306">
        <f t="shared" si="25"/>
        <v>0</v>
      </c>
      <c r="M132" s="305">
        <f>IFERROR(SUMIF(体外式膜型人工肺!$C$30:$C$74,B132,体外式膜型人工肺!$K$30:$K$74)*((体外式膜型人工肺!$H$3-体外式膜型人工肺!$I$3)/体外式膜型人工肺!$H$3),0)</f>
        <v>0</v>
      </c>
      <c r="N132" s="306">
        <f t="shared" si="26"/>
        <v>0</v>
      </c>
      <c r="O132" s="306">
        <f t="shared" si="27"/>
        <v>0</v>
      </c>
      <c r="P132" s="306">
        <f t="shared" si="28"/>
        <v>0</v>
      </c>
      <c r="Q132" s="305">
        <f>IFERROR(SUMIF(紫外線照射装置!$C$30:$C$74,B132,紫外線照射装置!$K$30:$K$74)*((紫外線照射装置!$H$3-紫外線照射装置!$I$3)/紫外線照射装置!$H$3),0)</f>
        <v>0</v>
      </c>
      <c r="R132" s="306">
        <f t="shared" si="29"/>
        <v>0</v>
      </c>
      <c r="S132" s="419">
        <f t="shared" si="30"/>
        <v>0</v>
      </c>
      <c r="T132" s="305">
        <f>IFERROR(SUMIF(超音波画像診断装置!$C$30:$C$74,B132,超音波画像診断装置!$K$30:$K$74)*((超音波画像診断装置!$H$3-超音波画像診断装置!$I$3)/超音波画像診断装置!$H$3),0)</f>
        <v>0</v>
      </c>
      <c r="U132" s="306">
        <f t="shared" si="31"/>
        <v>0</v>
      </c>
      <c r="V132" s="305">
        <f>IFERROR(SUMIF(血液浄化装置!$C$30:$C$74,B132,血液浄化装置!$K$30:$K$74)*((血液浄化装置!$H$3-血液浄化装置!$I$3)/血液浄化装置!$H$3),0)</f>
        <v>0</v>
      </c>
      <c r="W132" s="306">
        <f t="shared" si="32"/>
        <v>0</v>
      </c>
      <c r="X132" s="305">
        <f>IFERROR(SUMIF(気管支鏡!$C$30:$C$74,B132,気管支鏡!$K$30:$K$74)*((気管支鏡!$H$3-気管支鏡!$I$3)/気管支鏡!$H$3),0)</f>
        <v>0</v>
      </c>
      <c r="Y132" s="306">
        <f t="shared" si="18"/>
        <v>0</v>
      </c>
      <c r="Z132" s="305">
        <f>IFERROR(SUMIF(CT撮影装置!$C$30:$C$74,B132,CT撮影装置!$K$30:$K$74)*((CT撮影装置!$H$3-CT撮影装置!$I$3)/CT撮影装置!$H$3),0)</f>
        <v>0</v>
      </c>
      <c r="AA132" s="306">
        <f t="shared" si="33"/>
        <v>0</v>
      </c>
      <c r="AB132" s="305">
        <f>IFERROR(SUMIF(生体情報モニタ!$C$30:$C$74,B132,生体情報モニタ!$K$30:$K$74)*((生体情報モニタ!$H$3-生体情報モニタ!$I$3)/生体情報モニタ!$H$3),0)</f>
        <v>0</v>
      </c>
      <c r="AC132" s="306">
        <f t="shared" si="19"/>
        <v>0</v>
      </c>
      <c r="AD132" s="305">
        <f>IFERROR(SUMIF(分娩監視装置!$C$30:$C$74,B132,分娩監視装置!$K$30:$K$74)*((分娩監視装置!$H$3-分娩監視装置!$I$3)/分娩監視装置!$H$3),0)</f>
        <v>0</v>
      </c>
      <c r="AE132" s="306">
        <f t="shared" si="34"/>
        <v>0</v>
      </c>
      <c r="AF132" s="305">
        <f>IFERROR(SUMIF(新生児モニタ!$C$30:$C$74,B132,新生児モニタ!$K$30:$K$74)*((新生児モニタ!$H$3-新生児モニタ!$I$3)/新生児モニタ!$H$3),0)</f>
        <v>0</v>
      </c>
      <c r="AG132" s="306">
        <f t="shared" si="35"/>
        <v>0</v>
      </c>
    </row>
    <row r="133" spans="2:33">
      <c r="B133" s="283" t="s">
        <v>946</v>
      </c>
      <c r="C133" s="305">
        <f>IFERROR(SUMIF(初度設備!$C$30:$C$74,B133,初度設備!$K$30:$K$74)*((初度設備!$H$3-初度設備!$I$3)/初度設備!$H$3),0)</f>
        <v>0</v>
      </c>
      <c r="D133" s="306">
        <f t="shared" si="20"/>
        <v>0</v>
      </c>
      <c r="E133" s="305">
        <f>IFERROR(SUMIF(人工呼吸器!$C$30:$C$74,B133,人工呼吸器!$K$30:$K$74)*((人工呼吸器!$H$3-人工呼吸器!$I$3)/人工呼吸器!$H$3),0)</f>
        <v>0</v>
      </c>
      <c r="F133" s="306">
        <f t="shared" si="21"/>
        <v>0</v>
      </c>
      <c r="G133" s="306">
        <f t="shared" si="22"/>
        <v>0</v>
      </c>
      <c r="H133" s="306">
        <f t="shared" si="23"/>
        <v>0</v>
      </c>
      <c r="I133" s="305">
        <f>IFERROR(SUMIF(簡易陰圧装置!$C$30:$C$74,B133,簡易陰圧装置!$K$30:$K$74)*((簡易陰圧装置!$H$3-簡易陰圧装置!$I$3)/簡易陰圧装置!$H$3),0)</f>
        <v>0</v>
      </c>
      <c r="J133" s="306">
        <f t="shared" si="24"/>
        <v>0</v>
      </c>
      <c r="K133" s="305">
        <f>IFERROR(SUMIF(簡易ベッド!$C$30:$C$74,B133,簡易ベッド!$K$30:$K$74)*((簡易ベッド!$H$3-簡易ベッド!$I$3)/簡易ベッド!$H$3),0)</f>
        <v>0</v>
      </c>
      <c r="L133" s="306">
        <f t="shared" si="25"/>
        <v>0</v>
      </c>
      <c r="M133" s="305">
        <f>IFERROR(SUMIF(体外式膜型人工肺!$C$30:$C$74,B133,体外式膜型人工肺!$K$30:$K$74)*((体外式膜型人工肺!$H$3-体外式膜型人工肺!$I$3)/体外式膜型人工肺!$H$3),0)</f>
        <v>0</v>
      </c>
      <c r="N133" s="306">
        <f t="shared" si="26"/>
        <v>0</v>
      </c>
      <c r="O133" s="306">
        <f t="shared" si="27"/>
        <v>0</v>
      </c>
      <c r="P133" s="306">
        <f t="shared" si="28"/>
        <v>0</v>
      </c>
      <c r="Q133" s="305">
        <f>IFERROR(SUMIF(紫外線照射装置!$C$30:$C$74,B133,紫外線照射装置!$K$30:$K$74)*((紫外線照射装置!$H$3-紫外線照射装置!$I$3)/紫外線照射装置!$H$3),0)</f>
        <v>0</v>
      </c>
      <c r="R133" s="306">
        <f t="shared" si="29"/>
        <v>0</v>
      </c>
      <c r="S133" s="419">
        <f t="shared" si="30"/>
        <v>0</v>
      </c>
      <c r="T133" s="305">
        <f>IFERROR(SUMIF(超音波画像診断装置!$C$30:$C$74,B133,超音波画像診断装置!$K$30:$K$74)*((超音波画像診断装置!$H$3-超音波画像診断装置!$I$3)/超音波画像診断装置!$H$3),0)</f>
        <v>0</v>
      </c>
      <c r="U133" s="306">
        <f t="shared" si="31"/>
        <v>0</v>
      </c>
      <c r="V133" s="305">
        <f>IFERROR(SUMIF(血液浄化装置!$C$30:$C$74,B133,血液浄化装置!$K$30:$K$74)*((血液浄化装置!$H$3-血液浄化装置!$I$3)/血液浄化装置!$H$3),0)</f>
        <v>0</v>
      </c>
      <c r="W133" s="306">
        <f t="shared" si="32"/>
        <v>0</v>
      </c>
      <c r="X133" s="305">
        <f>IFERROR(SUMIF(気管支鏡!$C$30:$C$74,B133,気管支鏡!$K$30:$K$74)*((気管支鏡!$H$3-気管支鏡!$I$3)/気管支鏡!$H$3),0)</f>
        <v>0</v>
      </c>
      <c r="Y133" s="306">
        <f t="shared" si="18"/>
        <v>0</v>
      </c>
      <c r="Z133" s="305">
        <f>IFERROR(SUMIF(CT撮影装置!$C$30:$C$74,B133,CT撮影装置!$K$30:$K$74)*((CT撮影装置!$H$3-CT撮影装置!$I$3)/CT撮影装置!$H$3),0)</f>
        <v>0</v>
      </c>
      <c r="AA133" s="306">
        <f t="shared" si="33"/>
        <v>0</v>
      </c>
      <c r="AB133" s="305">
        <f>IFERROR(SUMIF(生体情報モニタ!$C$30:$C$74,B133,生体情報モニタ!$K$30:$K$74)*((生体情報モニタ!$H$3-生体情報モニタ!$I$3)/生体情報モニタ!$H$3),0)</f>
        <v>0</v>
      </c>
      <c r="AC133" s="306">
        <f t="shared" si="19"/>
        <v>0</v>
      </c>
      <c r="AD133" s="305">
        <f>IFERROR(SUMIF(分娩監視装置!$C$30:$C$74,B133,分娩監視装置!$K$30:$K$74)*((分娩監視装置!$H$3-分娩監視装置!$I$3)/分娩監視装置!$H$3),0)</f>
        <v>0</v>
      </c>
      <c r="AE133" s="306">
        <f t="shared" si="34"/>
        <v>0</v>
      </c>
      <c r="AF133" s="305">
        <f>IFERROR(SUMIF(新生児モニタ!$C$30:$C$74,B133,新生児モニタ!$K$30:$K$74)*((新生児モニタ!$H$3-新生児モニタ!$I$3)/新生児モニタ!$H$3),0)</f>
        <v>0</v>
      </c>
      <c r="AG133" s="306">
        <f t="shared" si="35"/>
        <v>0</v>
      </c>
    </row>
    <row r="134" spans="2:33">
      <c r="B134" s="283" t="s">
        <v>947</v>
      </c>
      <c r="C134" s="305">
        <f>IFERROR(SUMIF(初度設備!$C$30:$C$74,B134,初度設備!$K$30:$K$74)*((初度設備!$H$3-初度設備!$I$3)/初度設備!$H$3),0)</f>
        <v>0</v>
      </c>
      <c r="D134" s="306">
        <f t="shared" si="20"/>
        <v>0</v>
      </c>
      <c r="E134" s="305">
        <f>IFERROR(SUMIF(人工呼吸器!$C$30:$C$74,B134,人工呼吸器!$K$30:$K$74)*((人工呼吸器!$H$3-人工呼吸器!$I$3)/人工呼吸器!$H$3),0)</f>
        <v>0</v>
      </c>
      <c r="F134" s="306">
        <f t="shared" si="21"/>
        <v>0</v>
      </c>
      <c r="G134" s="306">
        <f t="shared" si="22"/>
        <v>0</v>
      </c>
      <c r="H134" s="306">
        <f t="shared" si="23"/>
        <v>0</v>
      </c>
      <c r="I134" s="305">
        <f>IFERROR(SUMIF(簡易陰圧装置!$C$30:$C$74,B134,簡易陰圧装置!$K$30:$K$74)*((簡易陰圧装置!$H$3-簡易陰圧装置!$I$3)/簡易陰圧装置!$H$3),0)</f>
        <v>0</v>
      </c>
      <c r="J134" s="306">
        <f t="shared" si="24"/>
        <v>0</v>
      </c>
      <c r="K134" s="305">
        <f>IFERROR(SUMIF(簡易ベッド!$C$30:$C$74,B134,簡易ベッド!$K$30:$K$74)*((簡易ベッド!$H$3-簡易ベッド!$I$3)/簡易ベッド!$H$3),0)</f>
        <v>0</v>
      </c>
      <c r="L134" s="306">
        <f t="shared" si="25"/>
        <v>0</v>
      </c>
      <c r="M134" s="305">
        <f>IFERROR(SUMIF(体外式膜型人工肺!$C$30:$C$74,B134,体外式膜型人工肺!$K$30:$K$74)*((体外式膜型人工肺!$H$3-体外式膜型人工肺!$I$3)/体外式膜型人工肺!$H$3),0)</f>
        <v>0</v>
      </c>
      <c r="N134" s="306">
        <f t="shared" si="26"/>
        <v>0</v>
      </c>
      <c r="O134" s="306">
        <f t="shared" si="27"/>
        <v>0</v>
      </c>
      <c r="P134" s="306">
        <f t="shared" si="28"/>
        <v>0</v>
      </c>
      <c r="Q134" s="305">
        <f>IFERROR(SUMIF(紫外線照射装置!$C$30:$C$74,B134,紫外線照射装置!$K$30:$K$74)*((紫外線照射装置!$H$3-紫外線照射装置!$I$3)/紫外線照射装置!$H$3),0)</f>
        <v>0</v>
      </c>
      <c r="R134" s="306">
        <f t="shared" si="29"/>
        <v>0</v>
      </c>
      <c r="S134" s="419">
        <f t="shared" si="30"/>
        <v>0</v>
      </c>
      <c r="T134" s="305">
        <f>IFERROR(SUMIF(超音波画像診断装置!$C$30:$C$74,B134,超音波画像診断装置!$K$30:$K$74)*((超音波画像診断装置!$H$3-超音波画像診断装置!$I$3)/超音波画像診断装置!$H$3),0)</f>
        <v>0</v>
      </c>
      <c r="U134" s="306">
        <f t="shared" si="31"/>
        <v>0</v>
      </c>
      <c r="V134" s="305">
        <f>IFERROR(SUMIF(血液浄化装置!$C$30:$C$74,B134,血液浄化装置!$K$30:$K$74)*((血液浄化装置!$H$3-血液浄化装置!$I$3)/血液浄化装置!$H$3),0)</f>
        <v>0</v>
      </c>
      <c r="W134" s="306">
        <f t="shared" si="32"/>
        <v>0</v>
      </c>
      <c r="X134" s="305">
        <f>IFERROR(SUMIF(気管支鏡!$C$30:$C$74,B134,気管支鏡!$K$30:$K$74)*((気管支鏡!$H$3-気管支鏡!$I$3)/気管支鏡!$H$3),0)</f>
        <v>0</v>
      </c>
      <c r="Y134" s="306">
        <f t="shared" si="18"/>
        <v>0</v>
      </c>
      <c r="Z134" s="305">
        <f>IFERROR(SUMIF(CT撮影装置!$C$30:$C$74,B134,CT撮影装置!$K$30:$K$74)*((CT撮影装置!$H$3-CT撮影装置!$I$3)/CT撮影装置!$H$3),0)</f>
        <v>0</v>
      </c>
      <c r="AA134" s="306">
        <f t="shared" si="33"/>
        <v>0</v>
      </c>
      <c r="AB134" s="305">
        <f>IFERROR(SUMIF(生体情報モニタ!$C$30:$C$74,B134,生体情報モニタ!$K$30:$K$74)*((生体情報モニタ!$H$3-生体情報モニタ!$I$3)/生体情報モニタ!$H$3),0)</f>
        <v>0</v>
      </c>
      <c r="AC134" s="306">
        <f t="shared" si="19"/>
        <v>0</v>
      </c>
      <c r="AD134" s="305">
        <f>IFERROR(SUMIF(分娩監視装置!$C$30:$C$74,B134,分娩監視装置!$K$30:$K$74)*((分娩監視装置!$H$3-分娩監視装置!$I$3)/分娩監視装置!$H$3),0)</f>
        <v>0</v>
      </c>
      <c r="AE134" s="306">
        <f t="shared" si="34"/>
        <v>0</v>
      </c>
      <c r="AF134" s="305">
        <f>IFERROR(SUMIF(新生児モニタ!$C$30:$C$74,B134,新生児モニタ!$K$30:$K$74)*((新生児モニタ!$H$3-新生児モニタ!$I$3)/新生児モニタ!$H$3),0)</f>
        <v>0</v>
      </c>
      <c r="AG134" s="306">
        <f t="shared" si="35"/>
        <v>0</v>
      </c>
    </row>
    <row r="135" spans="2:33">
      <c r="B135" s="283" t="s">
        <v>948</v>
      </c>
      <c r="C135" s="305">
        <f>IFERROR(SUMIF(初度設備!$C$30:$C$74,B135,初度設備!$K$30:$K$74)*((初度設備!$H$3-初度設備!$I$3)/初度設備!$H$3),0)</f>
        <v>0</v>
      </c>
      <c r="D135" s="306">
        <f t="shared" si="20"/>
        <v>0</v>
      </c>
      <c r="E135" s="305">
        <f>IFERROR(SUMIF(人工呼吸器!$C$30:$C$74,B135,人工呼吸器!$K$30:$K$74)*((人工呼吸器!$H$3-人工呼吸器!$I$3)/人工呼吸器!$H$3),0)</f>
        <v>0</v>
      </c>
      <c r="F135" s="306">
        <f t="shared" si="21"/>
        <v>0</v>
      </c>
      <c r="G135" s="306">
        <f t="shared" si="22"/>
        <v>0</v>
      </c>
      <c r="H135" s="306">
        <f t="shared" si="23"/>
        <v>0</v>
      </c>
      <c r="I135" s="305">
        <f>IFERROR(SUMIF(簡易陰圧装置!$C$30:$C$74,B135,簡易陰圧装置!$K$30:$K$74)*((簡易陰圧装置!$H$3-簡易陰圧装置!$I$3)/簡易陰圧装置!$H$3),0)</f>
        <v>0</v>
      </c>
      <c r="J135" s="306">
        <f t="shared" si="24"/>
        <v>0</v>
      </c>
      <c r="K135" s="305">
        <f>IFERROR(SUMIF(簡易ベッド!$C$30:$C$74,B135,簡易ベッド!$K$30:$K$74)*((簡易ベッド!$H$3-簡易ベッド!$I$3)/簡易ベッド!$H$3),0)</f>
        <v>0</v>
      </c>
      <c r="L135" s="306">
        <f t="shared" si="25"/>
        <v>0</v>
      </c>
      <c r="M135" s="305">
        <f>IFERROR(SUMIF(体外式膜型人工肺!$C$30:$C$74,B135,体外式膜型人工肺!$K$30:$K$74)*((体外式膜型人工肺!$H$3-体外式膜型人工肺!$I$3)/体外式膜型人工肺!$H$3),0)</f>
        <v>0</v>
      </c>
      <c r="N135" s="306">
        <f t="shared" si="26"/>
        <v>0</v>
      </c>
      <c r="O135" s="306">
        <f t="shared" si="27"/>
        <v>0</v>
      </c>
      <c r="P135" s="306">
        <f t="shared" si="28"/>
        <v>0</v>
      </c>
      <c r="Q135" s="305">
        <f>IFERROR(SUMIF(紫外線照射装置!$C$30:$C$74,B135,紫外線照射装置!$K$30:$K$74)*((紫外線照射装置!$H$3-紫外線照射装置!$I$3)/紫外線照射装置!$H$3),0)</f>
        <v>0</v>
      </c>
      <c r="R135" s="306">
        <f t="shared" si="29"/>
        <v>0</v>
      </c>
      <c r="S135" s="419">
        <f t="shared" si="30"/>
        <v>0</v>
      </c>
      <c r="T135" s="305">
        <f>IFERROR(SUMIF(超音波画像診断装置!$C$30:$C$74,B135,超音波画像診断装置!$K$30:$K$74)*((超音波画像診断装置!$H$3-超音波画像診断装置!$I$3)/超音波画像診断装置!$H$3),0)</f>
        <v>0</v>
      </c>
      <c r="U135" s="306">
        <f t="shared" si="31"/>
        <v>0</v>
      </c>
      <c r="V135" s="305">
        <f>IFERROR(SUMIF(血液浄化装置!$C$30:$C$74,B135,血液浄化装置!$K$30:$K$74)*((血液浄化装置!$H$3-血液浄化装置!$I$3)/血液浄化装置!$H$3),0)</f>
        <v>0</v>
      </c>
      <c r="W135" s="306">
        <f t="shared" si="32"/>
        <v>0</v>
      </c>
      <c r="X135" s="305">
        <f>IFERROR(SUMIF(気管支鏡!$C$30:$C$74,B135,気管支鏡!$K$30:$K$74)*((気管支鏡!$H$3-気管支鏡!$I$3)/気管支鏡!$H$3),0)</f>
        <v>0</v>
      </c>
      <c r="Y135" s="306">
        <f t="shared" si="18"/>
        <v>0</v>
      </c>
      <c r="Z135" s="305">
        <f>IFERROR(SUMIF(CT撮影装置!$C$30:$C$74,B135,CT撮影装置!$K$30:$K$74)*((CT撮影装置!$H$3-CT撮影装置!$I$3)/CT撮影装置!$H$3),0)</f>
        <v>0</v>
      </c>
      <c r="AA135" s="306">
        <f t="shared" si="33"/>
        <v>0</v>
      </c>
      <c r="AB135" s="305">
        <f>IFERROR(SUMIF(生体情報モニタ!$C$30:$C$74,B135,生体情報モニタ!$K$30:$K$74)*((生体情報モニタ!$H$3-生体情報モニタ!$I$3)/生体情報モニタ!$H$3),0)</f>
        <v>0</v>
      </c>
      <c r="AC135" s="306">
        <f t="shared" si="19"/>
        <v>0</v>
      </c>
      <c r="AD135" s="305">
        <f>IFERROR(SUMIF(分娩監視装置!$C$30:$C$74,B135,分娩監視装置!$K$30:$K$74)*((分娩監視装置!$H$3-分娩監視装置!$I$3)/分娩監視装置!$H$3),0)</f>
        <v>0</v>
      </c>
      <c r="AE135" s="306">
        <f t="shared" si="34"/>
        <v>0</v>
      </c>
      <c r="AF135" s="305">
        <f>IFERROR(SUMIF(新生児モニタ!$C$30:$C$74,B135,新生児モニタ!$K$30:$K$74)*((新生児モニタ!$H$3-新生児モニタ!$I$3)/新生児モニタ!$H$3),0)</f>
        <v>0</v>
      </c>
      <c r="AG135" s="306">
        <f t="shared" si="35"/>
        <v>0</v>
      </c>
    </row>
    <row r="136" spans="2:33">
      <c r="B136" s="283" t="s">
        <v>949</v>
      </c>
      <c r="C136" s="305">
        <f>IFERROR(SUMIF(初度設備!$C$30:$C$74,B136,初度設備!$K$30:$K$74)*((初度設備!$H$3-初度設備!$I$3)/初度設備!$H$3),0)</f>
        <v>0</v>
      </c>
      <c r="D136" s="306">
        <f t="shared" si="20"/>
        <v>0</v>
      </c>
      <c r="E136" s="305">
        <f>IFERROR(SUMIF(人工呼吸器!$C$30:$C$74,B136,人工呼吸器!$K$30:$K$74)*((人工呼吸器!$H$3-人工呼吸器!$I$3)/人工呼吸器!$H$3),0)</f>
        <v>0</v>
      </c>
      <c r="F136" s="306">
        <f t="shared" si="21"/>
        <v>0</v>
      </c>
      <c r="G136" s="306">
        <f t="shared" si="22"/>
        <v>0</v>
      </c>
      <c r="H136" s="306">
        <f t="shared" si="23"/>
        <v>0</v>
      </c>
      <c r="I136" s="305">
        <f>IFERROR(SUMIF(簡易陰圧装置!$C$30:$C$74,B136,簡易陰圧装置!$K$30:$K$74)*((簡易陰圧装置!$H$3-簡易陰圧装置!$I$3)/簡易陰圧装置!$H$3),0)</f>
        <v>0</v>
      </c>
      <c r="J136" s="306">
        <f t="shared" si="24"/>
        <v>0</v>
      </c>
      <c r="K136" s="305">
        <f>IFERROR(SUMIF(簡易ベッド!$C$30:$C$74,B136,簡易ベッド!$K$30:$K$74)*((簡易ベッド!$H$3-簡易ベッド!$I$3)/簡易ベッド!$H$3),0)</f>
        <v>0</v>
      </c>
      <c r="L136" s="306">
        <f t="shared" si="25"/>
        <v>0</v>
      </c>
      <c r="M136" s="305">
        <f>IFERROR(SUMIF(体外式膜型人工肺!$C$30:$C$74,B136,体外式膜型人工肺!$K$30:$K$74)*((体外式膜型人工肺!$H$3-体外式膜型人工肺!$I$3)/体外式膜型人工肺!$H$3),0)</f>
        <v>0</v>
      </c>
      <c r="N136" s="306">
        <f t="shared" si="26"/>
        <v>0</v>
      </c>
      <c r="O136" s="306">
        <f t="shared" si="27"/>
        <v>0</v>
      </c>
      <c r="P136" s="306">
        <f t="shared" si="28"/>
        <v>0</v>
      </c>
      <c r="Q136" s="305">
        <f>IFERROR(SUMIF(紫外線照射装置!$C$30:$C$74,B136,紫外線照射装置!$K$30:$K$74)*((紫外線照射装置!$H$3-紫外線照射装置!$I$3)/紫外線照射装置!$H$3),0)</f>
        <v>0</v>
      </c>
      <c r="R136" s="306">
        <f t="shared" si="29"/>
        <v>0</v>
      </c>
      <c r="S136" s="419">
        <f t="shared" si="30"/>
        <v>0</v>
      </c>
      <c r="T136" s="305">
        <f>IFERROR(SUMIF(超音波画像診断装置!$C$30:$C$74,B136,超音波画像診断装置!$K$30:$K$74)*((超音波画像診断装置!$H$3-超音波画像診断装置!$I$3)/超音波画像診断装置!$H$3),0)</f>
        <v>0</v>
      </c>
      <c r="U136" s="306">
        <f t="shared" si="31"/>
        <v>0</v>
      </c>
      <c r="V136" s="305">
        <f>IFERROR(SUMIF(血液浄化装置!$C$30:$C$74,B136,血液浄化装置!$K$30:$K$74)*((血液浄化装置!$H$3-血液浄化装置!$I$3)/血液浄化装置!$H$3),0)</f>
        <v>0</v>
      </c>
      <c r="W136" s="306">
        <f t="shared" si="32"/>
        <v>0</v>
      </c>
      <c r="X136" s="305">
        <f>IFERROR(SUMIF(気管支鏡!$C$30:$C$74,B136,気管支鏡!$K$30:$K$74)*((気管支鏡!$H$3-気管支鏡!$I$3)/気管支鏡!$H$3),0)</f>
        <v>0</v>
      </c>
      <c r="Y136" s="306">
        <f t="shared" si="18"/>
        <v>0</v>
      </c>
      <c r="Z136" s="305">
        <f>IFERROR(SUMIF(CT撮影装置!$C$30:$C$74,B136,CT撮影装置!$K$30:$K$74)*((CT撮影装置!$H$3-CT撮影装置!$I$3)/CT撮影装置!$H$3),0)</f>
        <v>0</v>
      </c>
      <c r="AA136" s="306">
        <f t="shared" si="33"/>
        <v>0</v>
      </c>
      <c r="AB136" s="305">
        <f>IFERROR(SUMIF(生体情報モニタ!$C$30:$C$74,B136,生体情報モニタ!$K$30:$K$74)*((生体情報モニタ!$H$3-生体情報モニタ!$I$3)/生体情報モニタ!$H$3),0)</f>
        <v>0</v>
      </c>
      <c r="AC136" s="306">
        <f t="shared" si="19"/>
        <v>0</v>
      </c>
      <c r="AD136" s="305">
        <f>IFERROR(SUMIF(分娩監視装置!$C$30:$C$74,B136,分娩監視装置!$K$30:$K$74)*((分娩監視装置!$H$3-分娩監視装置!$I$3)/分娩監視装置!$H$3),0)</f>
        <v>0</v>
      </c>
      <c r="AE136" s="306">
        <f t="shared" si="34"/>
        <v>0</v>
      </c>
      <c r="AF136" s="305">
        <f>IFERROR(SUMIF(新生児モニタ!$C$30:$C$74,B136,新生児モニタ!$K$30:$K$74)*((新生児モニタ!$H$3-新生児モニタ!$I$3)/新生児モニタ!$H$3),0)</f>
        <v>0</v>
      </c>
      <c r="AG136" s="306">
        <f t="shared" si="35"/>
        <v>0</v>
      </c>
    </row>
    <row r="137" spans="2:33">
      <c r="B137" s="283" t="s">
        <v>950</v>
      </c>
      <c r="C137" s="305">
        <f>IFERROR(SUMIF(初度設備!$C$30:$C$74,B137,初度設備!$K$30:$K$74)*((初度設備!$H$3-初度設備!$I$3)/初度設備!$H$3),0)</f>
        <v>0</v>
      </c>
      <c r="D137" s="306">
        <f t="shared" si="20"/>
        <v>0</v>
      </c>
      <c r="E137" s="305">
        <f>IFERROR(SUMIF(人工呼吸器!$C$30:$C$74,B137,人工呼吸器!$K$30:$K$74)*((人工呼吸器!$H$3-人工呼吸器!$I$3)/人工呼吸器!$H$3),0)</f>
        <v>0</v>
      </c>
      <c r="F137" s="306">
        <f t="shared" si="21"/>
        <v>0</v>
      </c>
      <c r="G137" s="306">
        <f t="shared" si="22"/>
        <v>0</v>
      </c>
      <c r="H137" s="306">
        <f t="shared" si="23"/>
        <v>0</v>
      </c>
      <c r="I137" s="305">
        <f>IFERROR(SUMIF(簡易陰圧装置!$C$30:$C$74,B137,簡易陰圧装置!$K$30:$K$74)*((簡易陰圧装置!$H$3-簡易陰圧装置!$I$3)/簡易陰圧装置!$H$3),0)</f>
        <v>0</v>
      </c>
      <c r="J137" s="306">
        <f t="shared" si="24"/>
        <v>0</v>
      </c>
      <c r="K137" s="305">
        <f>IFERROR(SUMIF(簡易ベッド!$C$30:$C$74,B137,簡易ベッド!$K$30:$K$74)*((簡易ベッド!$H$3-簡易ベッド!$I$3)/簡易ベッド!$H$3),0)</f>
        <v>0</v>
      </c>
      <c r="L137" s="306">
        <f t="shared" si="25"/>
        <v>0</v>
      </c>
      <c r="M137" s="305">
        <f>IFERROR(SUMIF(体外式膜型人工肺!$C$30:$C$74,B137,体外式膜型人工肺!$K$30:$K$74)*((体外式膜型人工肺!$H$3-体外式膜型人工肺!$I$3)/体外式膜型人工肺!$H$3),0)</f>
        <v>0</v>
      </c>
      <c r="N137" s="306">
        <f t="shared" si="26"/>
        <v>0</v>
      </c>
      <c r="O137" s="306">
        <f t="shared" si="27"/>
        <v>0</v>
      </c>
      <c r="P137" s="306">
        <f t="shared" si="28"/>
        <v>0</v>
      </c>
      <c r="Q137" s="305">
        <f>IFERROR(SUMIF(紫外線照射装置!$C$30:$C$74,B137,紫外線照射装置!$K$30:$K$74)*((紫外線照射装置!$H$3-紫外線照射装置!$I$3)/紫外線照射装置!$H$3),0)</f>
        <v>0</v>
      </c>
      <c r="R137" s="306">
        <f t="shared" si="29"/>
        <v>0</v>
      </c>
      <c r="S137" s="419">
        <f t="shared" si="30"/>
        <v>0</v>
      </c>
      <c r="T137" s="305">
        <f>IFERROR(SUMIF(超音波画像診断装置!$C$30:$C$74,B137,超音波画像診断装置!$K$30:$K$74)*((超音波画像診断装置!$H$3-超音波画像診断装置!$I$3)/超音波画像診断装置!$H$3),0)</f>
        <v>0</v>
      </c>
      <c r="U137" s="306">
        <f t="shared" si="31"/>
        <v>0</v>
      </c>
      <c r="V137" s="305">
        <f>IFERROR(SUMIF(血液浄化装置!$C$30:$C$74,B137,血液浄化装置!$K$30:$K$74)*((血液浄化装置!$H$3-血液浄化装置!$I$3)/血液浄化装置!$H$3),0)</f>
        <v>0</v>
      </c>
      <c r="W137" s="306">
        <f t="shared" si="32"/>
        <v>0</v>
      </c>
      <c r="X137" s="305">
        <f>IFERROR(SUMIF(気管支鏡!$C$30:$C$74,B137,気管支鏡!$K$30:$K$74)*((気管支鏡!$H$3-気管支鏡!$I$3)/気管支鏡!$H$3),0)</f>
        <v>0</v>
      </c>
      <c r="Y137" s="306">
        <f t="shared" si="18"/>
        <v>0</v>
      </c>
      <c r="Z137" s="305">
        <f>IFERROR(SUMIF(CT撮影装置!$C$30:$C$74,B137,CT撮影装置!$K$30:$K$74)*((CT撮影装置!$H$3-CT撮影装置!$I$3)/CT撮影装置!$H$3),0)</f>
        <v>0</v>
      </c>
      <c r="AA137" s="306">
        <f t="shared" si="33"/>
        <v>0</v>
      </c>
      <c r="AB137" s="305">
        <f>IFERROR(SUMIF(生体情報モニタ!$C$30:$C$74,B137,生体情報モニタ!$K$30:$K$74)*((生体情報モニタ!$H$3-生体情報モニタ!$I$3)/生体情報モニタ!$H$3),0)</f>
        <v>0</v>
      </c>
      <c r="AC137" s="306">
        <f t="shared" si="19"/>
        <v>0</v>
      </c>
      <c r="AD137" s="305">
        <f>IFERROR(SUMIF(分娩監視装置!$C$30:$C$74,B137,分娩監視装置!$K$30:$K$74)*((分娩監視装置!$H$3-分娩監視装置!$I$3)/分娩監視装置!$H$3),0)</f>
        <v>0</v>
      </c>
      <c r="AE137" s="306">
        <f t="shared" si="34"/>
        <v>0</v>
      </c>
      <c r="AF137" s="305">
        <f>IFERROR(SUMIF(新生児モニタ!$C$30:$C$74,B137,新生児モニタ!$K$30:$K$74)*((新生児モニタ!$H$3-新生児モニタ!$I$3)/新生児モニタ!$H$3),0)</f>
        <v>0</v>
      </c>
      <c r="AG137" s="306">
        <f t="shared" si="35"/>
        <v>0</v>
      </c>
    </row>
    <row r="138" spans="2:33">
      <c r="B138" s="283" t="s">
        <v>951</v>
      </c>
      <c r="C138" s="305">
        <f>IFERROR(SUMIF(初度設備!$C$30:$C$74,B138,初度設備!$K$30:$K$74)*((初度設備!$H$3-初度設備!$I$3)/初度設備!$H$3),0)</f>
        <v>0</v>
      </c>
      <c r="D138" s="306">
        <f t="shared" si="20"/>
        <v>0</v>
      </c>
      <c r="E138" s="305">
        <f>IFERROR(SUMIF(人工呼吸器!$C$30:$C$74,B138,人工呼吸器!$K$30:$K$74)*((人工呼吸器!$H$3-人工呼吸器!$I$3)/人工呼吸器!$H$3),0)</f>
        <v>0</v>
      </c>
      <c r="F138" s="306">
        <f t="shared" si="21"/>
        <v>0</v>
      </c>
      <c r="G138" s="306">
        <f t="shared" si="22"/>
        <v>0</v>
      </c>
      <c r="H138" s="306">
        <f t="shared" si="23"/>
        <v>0</v>
      </c>
      <c r="I138" s="305">
        <f>IFERROR(SUMIF(簡易陰圧装置!$C$30:$C$74,B138,簡易陰圧装置!$K$30:$K$74)*((簡易陰圧装置!$H$3-簡易陰圧装置!$I$3)/簡易陰圧装置!$H$3),0)</f>
        <v>0</v>
      </c>
      <c r="J138" s="306">
        <f t="shared" si="24"/>
        <v>0</v>
      </c>
      <c r="K138" s="305">
        <f>IFERROR(SUMIF(簡易ベッド!$C$30:$C$74,B138,簡易ベッド!$K$30:$K$74)*((簡易ベッド!$H$3-簡易ベッド!$I$3)/簡易ベッド!$H$3),0)</f>
        <v>0</v>
      </c>
      <c r="L138" s="306">
        <f t="shared" si="25"/>
        <v>0</v>
      </c>
      <c r="M138" s="305">
        <f>IFERROR(SUMIF(体外式膜型人工肺!$C$30:$C$74,B138,体外式膜型人工肺!$K$30:$K$74)*((体外式膜型人工肺!$H$3-体外式膜型人工肺!$I$3)/体外式膜型人工肺!$H$3),0)</f>
        <v>0</v>
      </c>
      <c r="N138" s="306">
        <f t="shared" si="26"/>
        <v>0</v>
      </c>
      <c r="O138" s="306">
        <f t="shared" si="27"/>
        <v>0</v>
      </c>
      <c r="P138" s="306">
        <f t="shared" si="28"/>
        <v>0</v>
      </c>
      <c r="Q138" s="305">
        <f>IFERROR(SUMIF(紫外線照射装置!$C$30:$C$74,B138,紫外線照射装置!$K$30:$K$74)*((紫外線照射装置!$H$3-紫外線照射装置!$I$3)/紫外線照射装置!$H$3),0)</f>
        <v>0</v>
      </c>
      <c r="R138" s="306">
        <f t="shared" si="29"/>
        <v>0</v>
      </c>
      <c r="S138" s="419">
        <f t="shared" si="30"/>
        <v>0</v>
      </c>
      <c r="T138" s="305">
        <f>IFERROR(SUMIF(超音波画像診断装置!$C$30:$C$74,B138,超音波画像診断装置!$K$30:$K$74)*((超音波画像診断装置!$H$3-超音波画像診断装置!$I$3)/超音波画像診断装置!$H$3),0)</f>
        <v>0</v>
      </c>
      <c r="U138" s="306">
        <f t="shared" si="31"/>
        <v>0</v>
      </c>
      <c r="V138" s="305">
        <f>IFERROR(SUMIF(血液浄化装置!$C$30:$C$74,B138,血液浄化装置!$K$30:$K$74)*((血液浄化装置!$H$3-血液浄化装置!$I$3)/血液浄化装置!$H$3),0)</f>
        <v>0</v>
      </c>
      <c r="W138" s="306">
        <f t="shared" si="32"/>
        <v>0</v>
      </c>
      <c r="X138" s="305">
        <f>IFERROR(SUMIF(気管支鏡!$C$30:$C$74,B138,気管支鏡!$K$30:$K$74)*((気管支鏡!$H$3-気管支鏡!$I$3)/気管支鏡!$H$3),0)</f>
        <v>0</v>
      </c>
      <c r="Y138" s="306">
        <f t="shared" si="18"/>
        <v>0</v>
      </c>
      <c r="Z138" s="305">
        <f>IFERROR(SUMIF(CT撮影装置!$C$30:$C$74,B138,CT撮影装置!$K$30:$K$74)*((CT撮影装置!$H$3-CT撮影装置!$I$3)/CT撮影装置!$H$3),0)</f>
        <v>0</v>
      </c>
      <c r="AA138" s="306">
        <f t="shared" si="33"/>
        <v>0</v>
      </c>
      <c r="AB138" s="305">
        <f>IFERROR(SUMIF(生体情報モニタ!$C$30:$C$74,B138,生体情報モニタ!$K$30:$K$74)*((生体情報モニタ!$H$3-生体情報モニタ!$I$3)/生体情報モニタ!$H$3),0)</f>
        <v>0</v>
      </c>
      <c r="AC138" s="306">
        <f t="shared" si="19"/>
        <v>0</v>
      </c>
      <c r="AD138" s="305">
        <f>IFERROR(SUMIF(分娩監視装置!$C$30:$C$74,B138,分娩監視装置!$K$30:$K$74)*((分娩監視装置!$H$3-分娩監視装置!$I$3)/分娩監視装置!$H$3),0)</f>
        <v>0</v>
      </c>
      <c r="AE138" s="306">
        <f t="shared" si="34"/>
        <v>0</v>
      </c>
      <c r="AF138" s="305">
        <f>IFERROR(SUMIF(新生児モニタ!$C$30:$C$74,B138,新生児モニタ!$K$30:$K$74)*((新生児モニタ!$H$3-新生児モニタ!$I$3)/新生児モニタ!$H$3),0)</f>
        <v>0</v>
      </c>
      <c r="AG138" s="306">
        <f t="shared" si="35"/>
        <v>0</v>
      </c>
    </row>
    <row r="139" spans="2:33">
      <c r="B139" s="283" t="s">
        <v>952</v>
      </c>
      <c r="C139" s="305">
        <f>IFERROR(SUMIF(初度設備!$C$30:$C$74,B139,初度設備!$K$30:$K$74)*((初度設備!$H$3-初度設備!$I$3)/初度設備!$H$3),0)</f>
        <v>0</v>
      </c>
      <c r="D139" s="306">
        <f t="shared" si="20"/>
        <v>0</v>
      </c>
      <c r="E139" s="305">
        <f>IFERROR(SUMIF(人工呼吸器!$C$30:$C$74,B139,人工呼吸器!$K$30:$K$74)*((人工呼吸器!$H$3-人工呼吸器!$I$3)/人工呼吸器!$H$3),0)</f>
        <v>0</v>
      </c>
      <c r="F139" s="306">
        <f t="shared" si="21"/>
        <v>0</v>
      </c>
      <c r="G139" s="306">
        <f t="shared" si="22"/>
        <v>0</v>
      </c>
      <c r="H139" s="306">
        <f t="shared" si="23"/>
        <v>0</v>
      </c>
      <c r="I139" s="305">
        <f>IFERROR(SUMIF(簡易陰圧装置!$C$30:$C$74,B139,簡易陰圧装置!$K$30:$K$74)*((簡易陰圧装置!$H$3-簡易陰圧装置!$I$3)/簡易陰圧装置!$H$3),0)</f>
        <v>0</v>
      </c>
      <c r="J139" s="306">
        <f t="shared" si="24"/>
        <v>0</v>
      </c>
      <c r="K139" s="305">
        <f>IFERROR(SUMIF(簡易ベッド!$C$30:$C$74,B139,簡易ベッド!$K$30:$K$74)*((簡易ベッド!$H$3-簡易ベッド!$I$3)/簡易ベッド!$H$3),0)</f>
        <v>0</v>
      </c>
      <c r="L139" s="306">
        <f t="shared" si="25"/>
        <v>0</v>
      </c>
      <c r="M139" s="305">
        <f>IFERROR(SUMIF(体外式膜型人工肺!$C$30:$C$74,B139,体外式膜型人工肺!$K$30:$K$74)*((体外式膜型人工肺!$H$3-体外式膜型人工肺!$I$3)/体外式膜型人工肺!$H$3),0)</f>
        <v>0</v>
      </c>
      <c r="N139" s="306">
        <f t="shared" si="26"/>
        <v>0</v>
      </c>
      <c r="O139" s="306">
        <f t="shared" si="27"/>
        <v>0</v>
      </c>
      <c r="P139" s="306">
        <f t="shared" si="28"/>
        <v>0</v>
      </c>
      <c r="Q139" s="305">
        <f>IFERROR(SUMIF(紫外線照射装置!$C$30:$C$74,B139,紫外線照射装置!$K$30:$K$74)*((紫外線照射装置!$H$3-紫外線照射装置!$I$3)/紫外線照射装置!$H$3),0)</f>
        <v>0</v>
      </c>
      <c r="R139" s="306">
        <f t="shared" si="29"/>
        <v>0</v>
      </c>
      <c r="S139" s="419">
        <f t="shared" si="30"/>
        <v>0</v>
      </c>
      <c r="T139" s="305">
        <f>IFERROR(SUMIF(超音波画像診断装置!$C$30:$C$74,B139,超音波画像診断装置!$K$30:$K$74)*((超音波画像診断装置!$H$3-超音波画像診断装置!$I$3)/超音波画像診断装置!$H$3),0)</f>
        <v>0</v>
      </c>
      <c r="U139" s="306">
        <f t="shared" si="31"/>
        <v>0</v>
      </c>
      <c r="V139" s="305">
        <f>IFERROR(SUMIF(血液浄化装置!$C$30:$C$74,B139,血液浄化装置!$K$30:$K$74)*((血液浄化装置!$H$3-血液浄化装置!$I$3)/血液浄化装置!$H$3),0)</f>
        <v>0</v>
      </c>
      <c r="W139" s="306">
        <f t="shared" si="32"/>
        <v>0</v>
      </c>
      <c r="X139" s="305">
        <f>IFERROR(SUMIF(気管支鏡!$C$30:$C$74,B139,気管支鏡!$K$30:$K$74)*((気管支鏡!$H$3-気管支鏡!$I$3)/気管支鏡!$H$3),0)</f>
        <v>0</v>
      </c>
      <c r="Y139" s="306">
        <f t="shared" si="18"/>
        <v>0</v>
      </c>
      <c r="Z139" s="305">
        <f>IFERROR(SUMIF(CT撮影装置!$C$30:$C$74,B139,CT撮影装置!$K$30:$K$74)*((CT撮影装置!$H$3-CT撮影装置!$I$3)/CT撮影装置!$H$3),0)</f>
        <v>0</v>
      </c>
      <c r="AA139" s="306">
        <f t="shared" si="33"/>
        <v>0</v>
      </c>
      <c r="AB139" s="305">
        <f>IFERROR(SUMIF(生体情報モニタ!$C$30:$C$74,B139,生体情報モニタ!$K$30:$K$74)*((生体情報モニタ!$H$3-生体情報モニタ!$I$3)/生体情報モニタ!$H$3),0)</f>
        <v>0</v>
      </c>
      <c r="AC139" s="306">
        <f t="shared" si="19"/>
        <v>0</v>
      </c>
      <c r="AD139" s="305">
        <f>IFERROR(SUMIF(分娩監視装置!$C$30:$C$74,B139,分娩監視装置!$K$30:$K$74)*((分娩監視装置!$H$3-分娩監視装置!$I$3)/分娩監視装置!$H$3),0)</f>
        <v>0</v>
      </c>
      <c r="AE139" s="306">
        <f t="shared" si="34"/>
        <v>0</v>
      </c>
      <c r="AF139" s="305">
        <f>IFERROR(SUMIF(新生児モニタ!$C$30:$C$74,B139,新生児モニタ!$K$30:$K$74)*((新生児モニタ!$H$3-新生児モニタ!$I$3)/新生児モニタ!$H$3),0)</f>
        <v>0</v>
      </c>
      <c r="AG139" s="306">
        <f t="shared" si="35"/>
        <v>0</v>
      </c>
    </row>
    <row r="140" spans="2:33">
      <c r="B140" s="283" t="s">
        <v>953</v>
      </c>
      <c r="C140" s="305">
        <f>IFERROR(SUMIF(初度設備!$C$30:$C$74,B140,初度設備!$K$30:$K$74)*((初度設備!$H$3-初度設備!$I$3)/初度設備!$H$3),0)</f>
        <v>0</v>
      </c>
      <c r="D140" s="306">
        <f t="shared" si="20"/>
        <v>0</v>
      </c>
      <c r="E140" s="305">
        <f>IFERROR(SUMIF(人工呼吸器!$C$30:$C$74,B140,人工呼吸器!$K$30:$K$74)*((人工呼吸器!$H$3-人工呼吸器!$I$3)/人工呼吸器!$H$3),0)</f>
        <v>0</v>
      </c>
      <c r="F140" s="306">
        <f t="shared" si="21"/>
        <v>0</v>
      </c>
      <c r="G140" s="306">
        <f t="shared" si="22"/>
        <v>0</v>
      </c>
      <c r="H140" s="306">
        <f t="shared" si="23"/>
        <v>0</v>
      </c>
      <c r="I140" s="305">
        <f>IFERROR(SUMIF(簡易陰圧装置!$C$30:$C$74,B140,簡易陰圧装置!$K$30:$K$74)*((簡易陰圧装置!$H$3-簡易陰圧装置!$I$3)/簡易陰圧装置!$H$3),0)</f>
        <v>0</v>
      </c>
      <c r="J140" s="306">
        <f t="shared" si="24"/>
        <v>0</v>
      </c>
      <c r="K140" s="305">
        <f>IFERROR(SUMIF(簡易ベッド!$C$30:$C$74,B140,簡易ベッド!$K$30:$K$74)*((簡易ベッド!$H$3-簡易ベッド!$I$3)/簡易ベッド!$H$3),0)</f>
        <v>0</v>
      </c>
      <c r="L140" s="306">
        <f t="shared" si="25"/>
        <v>0</v>
      </c>
      <c r="M140" s="305">
        <f>IFERROR(SUMIF(体外式膜型人工肺!$C$30:$C$74,B140,体外式膜型人工肺!$K$30:$K$74)*((体外式膜型人工肺!$H$3-体外式膜型人工肺!$I$3)/体外式膜型人工肺!$H$3),0)</f>
        <v>0</v>
      </c>
      <c r="N140" s="306">
        <f t="shared" si="26"/>
        <v>0</v>
      </c>
      <c r="O140" s="306">
        <f t="shared" si="27"/>
        <v>0</v>
      </c>
      <c r="P140" s="306">
        <f t="shared" si="28"/>
        <v>0</v>
      </c>
      <c r="Q140" s="305">
        <f>IFERROR(SUMIF(紫外線照射装置!$C$30:$C$74,B140,紫外線照射装置!$K$30:$K$74)*((紫外線照射装置!$H$3-紫外線照射装置!$I$3)/紫外線照射装置!$H$3),0)</f>
        <v>0</v>
      </c>
      <c r="R140" s="306">
        <f t="shared" si="29"/>
        <v>0</v>
      </c>
      <c r="S140" s="419">
        <f t="shared" si="30"/>
        <v>0</v>
      </c>
      <c r="T140" s="305">
        <f>IFERROR(SUMIF(超音波画像診断装置!$C$30:$C$74,B140,超音波画像診断装置!$K$30:$K$74)*((超音波画像診断装置!$H$3-超音波画像診断装置!$I$3)/超音波画像診断装置!$H$3),0)</f>
        <v>0</v>
      </c>
      <c r="U140" s="306">
        <f t="shared" si="31"/>
        <v>0</v>
      </c>
      <c r="V140" s="305">
        <f>IFERROR(SUMIF(血液浄化装置!$C$30:$C$74,B140,血液浄化装置!$K$30:$K$74)*((血液浄化装置!$H$3-血液浄化装置!$I$3)/血液浄化装置!$H$3),0)</f>
        <v>0</v>
      </c>
      <c r="W140" s="306">
        <f t="shared" si="32"/>
        <v>0</v>
      </c>
      <c r="X140" s="305">
        <f>IFERROR(SUMIF(気管支鏡!$C$30:$C$74,B140,気管支鏡!$K$30:$K$74)*((気管支鏡!$H$3-気管支鏡!$I$3)/気管支鏡!$H$3),0)</f>
        <v>0</v>
      </c>
      <c r="Y140" s="306">
        <f t="shared" si="18"/>
        <v>0</v>
      </c>
      <c r="Z140" s="305">
        <f>IFERROR(SUMIF(CT撮影装置!$C$30:$C$74,B140,CT撮影装置!$K$30:$K$74)*((CT撮影装置!$H$3-CT撮影装置!$I$3)/CT撮影装置!$H$3),0)</f>
        <v>0</v>
      </c>
      <c r="AA140" s="306">
        <f t="shared" si="33"/>
        <v>0</v>
      </c>
      <c r="AB140" s="305">
        <f>IFERROR(SUMIF(生体情報モニタ!$C$30:$C$74,B140,生体情報モニタ!$K$30:$K$74)*((生体情報モニタ!$H$3-生体情報モニタ!$I$3)/生体情報モニタ!$H$3),0)</f>
        <v>0</v>
      </c>
      <c r="AC140" s="306">
        <f t="shared" si="19"/>
        <v>0</v>
      </c>
      <c r="AD140" s="305">
        <f>IFERROR(SUMIF(分娩監視装置!$C$30:$C$74,B140,分娩監視装置!$K$30:$K$74)*((分娩監視装置!$H$3-分娩監視装置!$I$3)/分娩監視装置!$H$3),0)</f>
        <v>0</v>
      </c>
      <c r="AE140" s="306">
        <f t="shared" si="34"/>
        <v>0</v>
      </c>
      <c r="AF140" s="305">
        <f>IFERROR(SUMIF(新生児モニタ!$C$30:$C$74,B140,新生児モニタ!$K$30:$K$74)*((新生児モニタ!$H$3-新生児モニタ!$I$3)/新生児モニタ!$H$3),0)</f>
        <v>0</v>
      </c>
      <c r="AG140" s="306">
        <f t="shared" si="35"/>
        <v>0</v>
      </c>
    </row>
    <row r="141" spans="2:33">
      <c r="B141" s="283" t="s">
        <v>954</v>
      </c>
      <c r="C141" s="305">
        <f>IFERROR(SUMIF(初度設備!$C$30:$C$74,B141,初度設備!$K$30:$K$74)*((初度設備!$H$3-初度設備!$I$3)/初度設備!$H$3),0)</f>
        <v>0</v>
      </c>
      <c r="D141" s="306">
        <f t="shared" si="20"/>
        <v>0</v>
      </c>
      <c r="E141" s="305">
        <f>IFERROR(SUMIF(人工呼吸器!$C$30:$C$74,B141,人工呼吸器!$K$30:$K$74)*((人工呼吸器!$H$3-人工呼吸器!$I$3)/人工呼吸器!$H$3),0)</f>
        <v>0</v>
      </c>
      <c r="F141" s="306">
        <f t="shared" si="21"/>
        <v>0</v>
      </c>
      <c r="G141" s="306">
        <f t="shared" si="22"/>
        <v>0</v>
      </c>
      <c r="H141" s="306">
        <f t="shared" si="23"/>
        <v>0</v>
      </c>
      <c r="I141" s="305">
        <f>IFERROR(SUMIF(簡易陰圧装置!$C$30:$C$74,B141,簡易陰圧装置!$K$30:$K$74)*((簡易陰圧装置!$H$3-簡易陰圧装置!$I$3)/簡易陰圧装置!$H$3),0)</f>
        <v>0</v>
      </c>
      <c r="J141" s="306">
        <f t="shared" si="24"/>
        <v>0</v>
      </c>
      <c r="K141" s="305">
        <f>IFERROR(SUMIF(簡易ベッド!$C$30:$C$74,B141,簡易ベッド!$K$30:$K$74)*((簡易ベッド!$H$3-簡易ベッド!$I$3)/簡易ベッド!$H$3),0)</f>
        <v>0</v>
      </c>
      <c r="L141" s="306">
        <f t="shared" si="25"/>
        <v>0</v>
      </c>
      <c r="M141" s="305">
        <f>IFERROR(SUMIF(体外式膜型人工肺!$C$30:$C$74,B141,体外式膜型人工肺!$K$30:$K$74)*((体外式膜型人工肺!$H$3-体外式膜型人工肺!$I$3)/体外式膜型人工肺!$H$3),0)</f>
        <v>0</v>
      </c>
      <c r="N141" s="306">
        <f t="shared" si="26"/>
        <v>0</v>
      </c>
      <c r="O141" s="306">
        <f t="shared" si="27"/>
        <v>0</v>
      </c>
      <c r="P141" s="306">
        <f t="shared" si="28"/>
        <v>0</v>
      </c>
      <c r="Q141" s="305">
        <f>IFERROR(SUMIF(紫外線照射装置!$C$30:$C$74,B141,紫外線照射装置!$K$30:$K$74)*((紫外線照射装置!$H$3-紫外線照射装置!$I$3)/紫外線照射装置!$H$3),0)</f>
        <v>0</v>
      </c>
      <c r="R141" s="306">
        <f t="shared" si="29"/>
        <v>0</v>
      </c>
      <c r="S141" s="419">
        <f t="shared" si="30"/>
        <v>0</v>
      </c>
      <c r="T141" s="305">
        <f>IFERROR(SUMIF(超音波画像診断装置!$C$30:$C$74,B141,超音波画像診断装置!$K$30:$K$74)*((超音波画像診断装置!$H$3-超音波画像診断装置!$I$3)/超音波画像診断装置!$H$3),0)</f>
        <v>0</v>
      </c>
      <c r="U141" s="306">
        <f t="shared" si="31"/>
        <v>0</v>
      </c>
      <c r="V141" s="305">
        <f>IFERROR(SUMIF(血液浄化装置!$C$30:$C$74,B141,血液浄化装置!$K$30:$K$74)*((血液浄化装置!$H$3-血液浄化装置!$I$3)/血液浄化装置!$H$3),0)</f>
        <v>0</v>
      </c>
      <c r="W141" s="306">
        <f t="shared" si="32"/>
        <v>0</v>
      </c>
      <c r="X141" s="305">
        <f>IFERROR(SUMIF(気管支鏡!$C$30:$C$74,B141,気管支鏡!$K$30:$K$74)*((気管支鏡!$H$3-気管支鏡!$I$3)/気管支鏡!$H$3),0)</f>
        <v>0</v>
      </c>
      <c r="Y141" s="306">
        <f t="shared" si="18"/>
        <v>0</v>
      </c>
      <c r="Z141" s="305">
        <f>IFERROR(SUMIF(CT撮影装置!$C$30:$C$74,B141,CT撮影装置!$K$30:$K$74)*((CT撮影装置!$H$3-CT撮影装置!$I$3)/CT撮影装置!$H$3),0)</f>
        <v>0</v>
      </c>
      <c r="AA141" s="306">
        <f t="shared" si="33"/>
        <v>0</v>
      </c>
      <c r="AB141" s="305">
        <f>IFERROR(SUMIF(生体情報モニタ!$C$30:$C$74,B141,生体情報モニタ!$K$30:$K$74)*((生体情報モニタ!$H$3-生体情報モニタ!$I$3)/生体情報モニタ!$H$3),0)</f>
        <v>0</v>
      </c>
      <c r="AC141" s="306">
        <f t="shared" si="19"/>
        <v>0</v>
      </c>
      <c r="AD141" s="305">
        <f>IFERROR(SUMIF(分娩監視装置!$C$30:$C$74,B141,分娩監視装置!$K$30:$K$74)*((分娩監視装置!$H$3-分娩監視装置!$I$3)/分娩監視装置!$H$3),0)</f>
        <v>0</v>
      </c>
      <c r="AE141" s="306">
        <f t="shared" si="34"/>
        <v>0</v>
      </c>
      <c r="AF141" s="305">
        <f>IFERROR(SUMIF(新生児モニタ!$C$30:$C$74,B141,新生児モニタ!$K$30:$K$74)*((新生児モニタ!$H$3-新生児モニタ!$I$3)/新生児モニタ!$H$3),0)</f>
        <v>0</v>
      </c>
      <c r="AG141" s="306">
        <f t="shared" si="35"/>
        <v>0</v>
      </c>
    </row>
    <row r="142" spans="2:33">
      <c r="B142" s="283" t="s">
        <v>955</v>
      </c>
      <c r="C142" s="305">
        <f>IFERROR(SUMIF(初度設備!$C$30:$C$74,B142,初度設備!$K$30:$K$74)*((初度設備!$H$3-初度設備!$I$3)/初度設備!$H$3),0)</f>
        <v>0</v>
      </c>
      <c r="D142" s="306">
        <f t="shared" si="20"/>
        <v>0</v>
      </c>
      <c r="E142" s="305">
        <f>IFERROR(SUMIF(人工呼吸器!$C$30:$C$74,B142,人工呼吸器!$K$30:$K$74)*((人工呼吸器!$H$3-人工呼吸器!$I$3)/人工呼吸器!$H$3),0)</f>
        <v>0</v>
      </c>
      <c r="F142" s="306">
        <f t="shared" si="21"/>
        <v>0</v>
      </c>
      <c r="G142" s="306">
        <f t="shared" si="22"/>
        <v>0</v>
      </c>
      <c r="H142" s="306">
        <f t="shared" si="23"/>
        <v>0</v>
      </c>
      <c r="I142" s="305">
        <f>IFERROR(SUMIF(簡易陰圧装置!$C$30:$C$74,B142,簡易陰圧装置!$K$30:$K$74)*((簡易陰圧装置!$H$3-簡易陰圧装置!$I$3)/簡易陰圧装置!$H$3),0)</f>
        <v>0</v>
      </c>
      <c r="J142" s="306">
        <f t="shared" si="24"/>
        <v>0</v>
      </c>
      <c r="K142" s="305">
        <f>IFERROR(SUMIF(簡易ベッド!$C$30:$C$74,B142,簡易ベッド!$K$30:$K$74)*((簡易ベッド!$H$3-簡易ベッド!$I$3)/簡易ベッド!$H$3),0)</f>
        <v>0</v>
      </c>
      <c r="L142" s="306">
        <f t="shared" si="25"/>
        <v>0</v>
      </c>
      <c r="M142" s="305">
        <f>IFERROR(SUMIF(体外式膜型人工肺!$C$30:$C$74,B142,体外式膜型人工肺!$K$30:$K$74)*((体外式膜型人工肺!$H$3-体外式膜型人工肺!$I$3)/体外式膜型人工肺!$H$3),0)</f>
        <v>0</v>
      </c>
      <c r="N142" s="306">
        <f t="shared" si="26"/>
        <v>0</v>
      </c>
      <c r="O142" s="306">
        <f t="shared" si="27"/>
        <v>0</v>
      </c>
      <c r="P142" s="306">
        <f t="shared" si="28"/>
        <v>0</v>
      </c>
      <c r="Q142" s="305">
        <f>IFERROR(SUMIF(紫外線照射装置!$C$30:$C$74,B142,紫外線照射装置!$K$30:$K$74)*((紫外線照射装置!$H$3-紫外線照射装置!$I$3)/紫外線照射装置!$H$3),0)</f>
        <v>0</v>
      </c>
      <c r="R142" s="306">
        <f t="shared" si="29"/>
        <v>0</v>
      </c>
      <c r="S142" s="419">
        <f t="shared" si="30"/>
        <v>0</v>
      </c>
      <c r="T142" s="305">
        <f>IFERROR(SUMIF(超音波画像診断装置!$C$30:$C$74,B142,超音波画像診断装置!$K$30:$K$74)*((超音波画像診断装置!$H$3-超音波画像診断装置!$I$3)/超音波画像診断装置!$H$3),0)</f>
        <v>0</v>
      </c>
      <c r="U142" s="306">
        <f t="shared" si="31"/>
        <v>0</v>
      </c>
      <c r="V142" s="305">
        <f>IFERROR(SUMIF(血液浄化装置!$C$30:$C$74,B142,血液浄化装置!$K$30:$K$74)*((血液浄化装置!$H$3-血液浄化装置!$I$3)/血液浄化装置!$H$3),0)</f>
        <v>0</v>
      </c>
      <c r="W142" s="306">
        <f t="shared" si="32"/>
        <v>0</v>
      </c>
      <c r="X142" s="305">
        <f>IFERROR(SUMIF(気管支鏡!$C$30:$C$74,B142,気管支鏡!$K$30:$K$74)*((気管支鏡!$H$3-気管支鏡!$I$3)/気管支鏡!$H$3),0)</f>
        <v>0</v>
      </c>
      <c r="Y142" s="306">
        <f t="shared" si="18"/>
        <v>0</v>
      </c>
      <c r="Z142" s="305">
        <f>IFERROR(SUMIF(CT撮影装置!$C$30:$C$74,B142,CT撮影装置!$K$30:$K$74)*((CT撮影装置!$H$3-CT撮影装置!$I$3)/CT撮影装置!$H$3),0)</f>
        <v>0</v>
      </c>
      <c r="AA142" s="306">
        <f t="shared" si="33"/>
        <v>0</v>
      </c>
      <c r="AB142" s="305">
        <f>IFERROR(SUMIF(生体情報モニタ!$C$30:$C$74,B142,生体情報モニタ!$K$30:$K$74)*((生体情報モニタ!$H$3-生体情報モニタ!$I$3)/生体情報モニタ!$H$3),0)</f>
        <v>0</v>
      </c>
      <c r="AC142" s="306">
        <f t="shared" si="19"/>
        <v>0</v>
      </c>
      <c r="AD142" s="305">
        <f>IFERROR(SUMIF(分娩監視装置!$C$30:$C$74,B142,分娩監視装置!$K$30:$K$74)*((分娩監視装置!$H$3-分娩監視装置!$I$3)/分娩監視装置!$H$3),0)</f>
        <v>0</v>
      </c>
      <c r="AE142" s="306">
        <f t="shared" si="34"/>
        <v>0</v>
      </c>
      <c r="AF142" s="305">
        <f>IFERROR(SUMIF(新生児モニタ!$C$30:$C$74,B142,新生児モニタ!$K$30:$K$74)*((新生児モニタ!$H$3-新生児モニタ!$I$3)/新生児モニタ!$H$3),0)</f>
        <v>0</v>
      </c>
      <c r="AG142" s="306">
        <f t="shared" si="35"/>
        <v>0</v>
      </c>
    </row>
    <row r="143" spans="2:33">
      <c r="B143" s="283" t="s">
        <v>956</v>
      </c>
      <c r="C143" s="305">
        <f>IFERROR(SUMIF(初度設備!$C$30:$C$74,B143,初度設備!$K$30:$K$74)*((初度設備!$H$3-初度設備!$I$3)/初度設備!$H$3),0)</f>
        <v>0</v>
      </c>
      <c r="D143" s="306">
        <f t="shared" si="20"/>
        <v>0</v>
      </c>
      <c r="E143" s="305">
        <f>IFERROR(SUMIF(人工呼吸器!$C$30:$C$74,B143,人工呼吸器!$K$30:$K$74)*((人工呼吸器!$H$3-人工呼吸器!$I$3)/人工呼吸器!$H$3),0)</f>
        <v>0</v>
      </c>
      <c r="F143" s="306">
        <f t="shared" si="21"/>
        <v>0</v>
      </c>
      <c r="G143" s="306">
        <f t="shared" si="22"/>
        <v>0</v>
      </c>
      <c r="H143" s="306">
        <f t="shared" si="23"/>
        <v>0</v>
      </c>
      <c r="I143" s="305">
        <f>IFERROR(SUMIF(簡易陰圧装置!$C$30:$C$74,B143,簡易陰圧装置!$K$30:$K$74)*((簡易陰圧装置!$H$3-簡易陰圧装置!$I$3)/簡易陰圧装置!$H$3),0)</f>
        <v>0</v>
      </c>
      <c r="J143" s="306">
        <f t="shared" si="24"/>
        <v>0</v>
      </c>
      <c r="K143" s="305">
        <f>IFERROR(SUMIF(簡易ベッド!$C$30:$C$74,B143,簡易ベッド!$K$30:$K$74)*((簡易ベッド!$H$3-簡易ベッド!$I$3)/簡易ベッド!$H$3),0)</f>
        <v>0</v>
      </c>
      <c r="L143" s="306">
        <f t="shared" si="25"/>
        <v>0</v>
      </c>
      <c r="M143" s="305">
        <f>IFERROR(SUMIF(体外式膜型人工肺!$C$30:$C$74,B143,体外式膜型人工肺!$K$30:$K$74)*((体外式膜型人工肺!$H$3-体外式膜型人工肺!$I$3)/体外式膜型人工肺!$H$3),0)</f>
        <v>0</v>
      </c>
      <c r="N143" s="306">
        <f t="shared" si="26"/>
        <v>0</v>
      </c>
      <c r="O143" s="306">
        <f t="shared" si="27"/>
        <v>0</v>
      </c>
      <c r="P143" s="306">
        <f t="shared" si="28"/>
        <v>0</v>
      </c>
      <c r="Q143" s="305">
        <f>IFERROR(SUMIF(紫外線照射装置!$C$30:$C$74,B143,紫外線照射装置!$K$30:$K$74)*((紫外線照射装置!$H$3-紫外線照射装置!$I$3)/紫外線照射装置!$H$3),0)</f>
        <v>0</v>
      </c>
      <c r="R143" s="306">
        <f t="shared" si="29"/>
        <v>0</v>
      </c>
      <c r="S143" s="419">
        <f t="shared" si="30"/>
        <v>0</v>
      </c>
      <c r="T143" s="305">
        <f>IFERROR(SUMIF(超音波画像診断装置!$C$30:$C$74,B143,超音波画像診断装置!$K$30:$K$74)*((超音波画像診断装置!$H$3-超音波画像診断装置!$I$3)/超音波画像診断装置!$H$3),0)</f>
        <v>0</v>
      </c>
      <c r="U143" s="306">
        <f t="shared" si="31"/>
        <v>0</v>
      </c>
      <c r="V143" s="305">
        <f>IFERROR(SUMIF(血液浄化装置!$C$30:$C$74,B143,血液浄化装置!$K$30:$K$74)*((血液浄化装置!$H$3-血液浄化装置!$I$3)/血液浄化装置!$H$3),0)</f>
        <v>0</v>
      </c>
      <c r="W143" s="306">
        <f t="shared" si="32"/>
        <v>0</v>
      </c>
      <c r="X143" s="305">
        <f>IFERROR(SUMIF(気管支鏡!$C$30:$C$74,B143,気管支鏡!$K$30:$K$74)*((気管支鏡!$H$3-気管支鏡!$I$3)/気管支鏡!$H$3),0)</f>
        <v>0</v>
      </c>
      <c r="Y143" s="306">
        <f t="shared" si="18"/>
        <v>0</v>
      </c>
      <c r="Z143" s="305">
        <f>IFERROR(SUMIF(CT撮影装置!$C$30:$C$74,B143,CT撮影装置!$K$30:$K$74)*((CT撮影装置!$H$3-CT撮影装置!$I$3)/CT撮影装置!$H$3),0)</f>
        <v>0</v>
      </c>
      <c r="AA143" s="306">
        <f t="shared" si="33"/>
        <v>0</v>
      </c>
      <c r="AB143" s="305">
        <f>IFERROR(SUMIF(生体情報モニタ!$C$30:$C$74,B143,生体情報モニタ!$K$30:$K$74)*((生体情報モニタ!$H$3-生体情報モニタ!$I$3)/生体情報モニタ!$H$3),0)</f>
        <v>0</v>
      </c>
      <c r="AC143" s="306">
        <f t="shared" si="19"/>
        <v>0</v>
      </c>
      <c r="AD143" s="305">
        <f>IFERROR(SUMIF(分娩監視装置!$C$30:$C$74,B143,分娩監視装置!$K$30:$K$74)*((分娩監視装置!$H$3-分娩監視装置!$I$3)/分娩監視装置!$H$3),0)</f>
        <v>0</v>
      </c>
      <c r="AE143" s="306">
        <f t="shared" si="34"/>
        <v>0</v>
      </c>
      <c r="AF143" s="305">
        <f>IFERROR(SUMIF(新生児モニタ!$C$30:$C$74,B143,新生児モニタ!$K$30:$K$74)*((新生児モニタ!$H$3-新生児モニタ!$I$3)/新生児モニタ!$H$3),0)</f>
        <v>0</v>
      </c>
      <c r="AG143" s="306">
        <f t="shared" si="35"/>
        <v>0</v>
      </c>
    </row>
    <row r="144" spans="2:33">
      <c r="B144" s="283" t="s">
        <v>957</v>
      </c>
      <c r="C144" s="305">
        <f>IFERROR(SUMIF(初度設備!$C$30:$C$74,B144,初度設備!$K$30:$K$74)*((初度設備!$H$3-初度設備!$I$3)/初度設備!$H$3),0)</f>
        <v>0</v>
      </c>
      <c r="D144" s="306">
        <f t="shared" si="20"/>
        <v>0</v>
      </c>
      <c r="E144" s="305">
        <f>IFERROR(SUMIF(人工呼吸器!$C$30:$C$74,B144,人工呼吸器!$K$30:$K$74)*((人工呼吸器!$H$3-人工呼吸器!$I$3)/人工呼吸器!$H$3),0)</f>
        <v>0</v>
      </c>
      <c r="F144" s="306">
        <f t="shared" si="21"/>
        <v>0</v>
      </c>
      <c r="G144" s="306">
        <f t="shared" si="22"/>
        <v>0</v>
      </c>
      <c r="H144" s="306">
        <f t="shared" si="23"/>
        <v>0</v>
      </c>
      <c r="I144" s="305">
        <f>IFERROR(SUMIF(簡易陰圧装置!$C$30:$C$74,B144,簡易陰圧装置!$K$30:$K$74)*((簡易陰圧装置!$H$3-簡易陰圧装置!$I$3)/簡易陰圧装置!$H$3),0)</f>
        <v>0</v>
      </c>
      <c r="J144" s="306">
        <f t="shared" si="24"/>
        <v>0</v>
      </c>
      <c r="K144" s="305">
        <f>IFERROR(SUMIF(簡易ベッド!$C$30:$C$74,B144,簡易ベッド!$K$30:$K$74)*((簡易ベッド!$H$3-簡易ベッド!$I$3)/簡易ベッド!$H$3),0)</f>
        <v>0</v>
      </c>
      <c r="L144" s="306">
        <f t="shared" si="25"/>
        <v>0</v>
      </c>
      <c r="M144" s="305">
        <f>IFERROR(SUMIF(体外式膜型人工肺!$C$30:$C$74,B144,体外式膜型人工肺!$K$30:$K$74)*((体外式膜型人工肺!$H$3-体外式膜型人工肺!$I$3)/体外式膜型人工肺!$H$3),0)</f>
        <v>0</v>
      </c>
      <c r="N144" s="306">
        <f t="shared" si="26"/>
        <v>0</v>
      </c>
      <c r="O144" s="306">
        <f t="shared" si="27"/>
        <v>0</v>
      </c>
      <c r="P144" s="306">
        <f t="shared" si="28"/>
        <v>0</v>
      </c>
      <c r="Q144" s="305">
        <f>IFERROR(SUMIF(紫外線照射装置!$C$30:$C$74,B144,紫外線照射装置!$K$30:$K$74)*((紫外線照射装置!$H$3-紫外線照射装置!$I$3)/紫外線照射装置!$H$3),0)</f>
        <v>0</v>
      </c>
      <c r="R144" s="306">
        <f t="shared" si="29"/>
        <v>0</v>
      </c>
      <c r="S144" s="419">
        <f t="shared" si="30"/>
        <v>0</v>
      </c>
      <c r="T144" s="305">
        <f>IFERROR(SUMIF(超音波画像診断装置!$C$30:$C$74,B144,超音波画像診断装置!$K$30:$K$74)*((超音波画像診断装置!$H$3-超音波画像診断装置!$I$3)/超音波画像診断装置!$H$3),0)</f>
        <v>0</v>
      </c>
      <c r="U144" s="306">
        <f t="shared" si="31"/>
        <v>0</v>
      </c>
      <c r="V144" s="305">
        <f>IFERROR(SUMIF(血液浄化装置!$C$30:$C$74,B144,血液浄化装置!$K$30:$K$74)*((血液浄化装置!$H$3-血液浄化装置!$I$3)/血液浄化装置!$H$3),0)</f>
        <v>0</v>
      </c>
      <c r="W144" s="306">
        <f t="shared" si="32"/>
        <v>0</v>
      </c>
      <c r="X144" s="305">
        <f>IFERROR(SUMIF(気管支鏡!$C$30:$C$74,B144,気管支鏡!$K$30:$K$74)*((気管支鏡!$H$3-気管支鏡!$I$3)/気管支鏡!$H$3),0)</f>
        <v>0</v>
      </c>
      <c r="Y144" s="306">
        <f t="shared" si="18"/>
        <v>0</v>
      </c>
      <c r="Z144" s="305">
        <f>IFERROR(SUMIF(CT撮影装置!$C$30:$C$74,B144,CT撮影装置!$K$30:$K$74)*((CT撮影装置!$H$3-CT撮影装置!$I$3)/CT撮影装置!$H$3),0)</f>
        <v>0</v>
      </c>
      <c r="AA144" s="306">
        <f t="shared" si="33"/>
        <v>0</v>
      </c>
      <c r="AB144" s="305">
        <f>IFERROR(SUMIF(生体情報モニタ!$C$30:$C$74,B144,生体情報モニタ!$K$30:$K$74)*((生体情報モニタ!$H$3-生体情報モニタ!$I$3)/生体情報モニタ!$H$3),0)</f>
        <v>0</v>
      </c>
      <c r="AC144" s="306">
        <f t="shared" si="19"/>
        <v>0</v>
      </c>
      <c r="AD144" s="305">
        <f>IFERROR(SUMIF(分娩監視装置!$C$30:$C$74,B144,分娩監視装置!$K$30:$K$74)*((分娩監視装置!$H$3-分娩監視装置!$I$3)/分娩監視装置!$H$3),0)</f>
        <v>0</v>
      </c>
      <c r="AE144" s="306">
        <f t="shared" si="34"/>
        <v>0</v>
      </c>
      <c r="AF144" s="305">
        <f>IFERROR(SUMIF(新生児モニタ!$C$30:$C$74,B144,新生児モニタ!$K$30:$K$74)*((新生児モニタ!$H$3-新生児モニタ!$I$3)/新生児モニタ!$H$3),0)</f>
        <v>0</v>
      </c>
      <c r="AG144" s="306">
        <f t="shared" si="35"/>
        <v>0</v>
      </c>
    </row>
    <row r="145" spans="2:33">
      <c r="B145" s="283" t="s">
        <v>958</v>
      </c>
      <c r="C145" s="305">
        <f>IFERROR(SUMIF(初度設備!$C$30:$C$74,B145,初度設備!$K$30:$K$74)*((初度設備!$H$3-初度設備!$I$3)/初度設備!$H$3),0)</f>
        <v>0</v>
      </c>
      <c r="D145" s="306">
        <f t="shared" si="20"/>
        <v>0</v>
      </c>
      <c r="E145" s="305">
        <f>IFERROR(SUMIF(人工呼吸器!$C$30:$C$74,B145,人工呼吸器!$K$30:$K$74)*((人工呼吸器!$H$3-人工呼吸器!$I$3)/人工呼吸器!$H$3),0)</f>
        <v>0</v>
      </c>
      <c r="F145" s="306">
        <f t="shared" si="21"/>
        <v>0</v>
      </c>
      <c r="G145" s="306">
        <f t="shared" si="22"/>
        <v>0</v>
      </c>
      <c r="H145" s="306">
        <f t="shared" si="23"/>
        <v>0</v>
      </c>
      <c r="I145" s="305">
        <f>IFERROR(SUMIF(簡易陰圧装置!$C$30:$C$74,B145,簡易陰圧装置!$K$30:$K$74)*((簡易陰圧装置!$H$3-簡易陰圧装置!$I$3)/簡易陰圧装置!$H$3),0)</f>
        <v>0</v>
      </c>
      <c r="J145" s="306">
        <f t="shared" si="24"/>
        <v>0</v>
      </c>
      <c r="K145" s="305">
        <f>IFERROR(SUMIF(簡易ベッド!$C$30:$C$74,B145,簡易ベッド!$K$30:$K$74)*((簡易ベッド!$H$3-簡易ベッド!$I$3)/簡易ベッド!$H$3),0)</f>
        <v>0</v>
      </c>
      <c r="L145" s="306">
        <f t="shared" si="25"/>
        <v>0</v>
      </c>
      <c r="M145" s="305">
        <f>IFERROR(SUMIF(体外式膜型人工肺!$C$30:$C$74,B145,体外式膜型人工肺!$K$30:$K$74)*((体外式膜型人工肺!$H$3-体外式膜型人工肺!$I$3)/体外式膜型人工肺!$H$3),0)</f>
        <v>0</v>
      </c>
      <c r="N145" s="306">
        <f t="shared" si="26"/>
        <v>0</v>
      </c>
      <c r="O145" s="306">
        <f t="shared" si="27"/>
        <v>0</v>
      </c>
      <c r="P145" s="306">
        <f t="shared" si="28"/>
        <v>0</v>
      </c>
      <c r="Q145" s="305">
        <f>IFERROR(SUMIF(紫外線照射装置!$C$30:$C$74,B145,紫外線照射装置!$K$30:$K$74)*((紫外線照射装置!$H$3-紫外線照射装置!$I$3)/紫外線照射装置!$H$3),0)</f>
        <v>0</v>
      </c>
      <c r="R145" s="306">
        <f t="shared" si="29"/>
        <v>0</v>
      </c>
      <c r="S145" s="419">
        <f t="shared" si="30"/>
        <v>0</v>
      </c>
      <c r="T145" s="305">
        <f>IFERROR(SUMIF(超音波画像診断装置!$C$30:$C$74,B145,超音波画像診断装置!$K$30:$K$74)*((超音波画像診断装置!$H$3-超音波画像診断装置!$I$3)/超音波画像診断装置!$H$3),0)</f>
        <v>0</v>
      </c>
      <c r="U145" s="306">
        <f t="shared" si="31"/>
        <v>0</v>
      </c>
      <c r="V145" s="305">
        <f>IFERROR(SUMIF(血液浄化装置!$C$30:$C$74,B145,血液浄化装置!$K$30:$K$74)*((血液浄化装置!$H$3-血液浄化装置!$I$3)/血液浄化装置!$H$3),0)</f>
        <v>0</v>
      </c>
      <c r="W145" s="306">
        <f t="shared" si="32"/>
        <v>0</v>
      </c>
      <c r="X145" s="305">
        <f>IFERROR(SUMIF(気管支鏡!$C$30:$C$74,B145,気管支鏡!$K$30:$K$74)*((気管支鏡!$H$3-気管支鏡!$I$3)/気管支鏡!$H$3),0)</f>
        <v>0</v>
      </c>
      <c r="Y145" s="306">
        <f t="shared" si="18"/>
        <v>0</v>
      </c>
      <c r="Z145" s="305">
        <f>IFERROR(SUMIF(CT撮影装置!$C$30:$C$74,B145,CT撮影装置!$K$30:$K$74)*((CT撮影装置!$H$3-CT撮影装置!$I$3)/CT撮影装置!$H$3),0)</f>
        <v>0</v>
      </c>
      <c r="AA145" s="306">
        <f t="shared" si="33"/>
        <v>0</v>
      </c>
      <c r="AB145" s="305">
        <f>IFERROR(SUMIF(生体情報モニタ!$C$30:$C$74,B145,生体情報モニタ!$K$30:$K$74)*((生体情報モニタ!$H$3-生体情報モニタ!$I$3)/生体情報モニタ!$H$3),0)</f>
        <v>0</v>
      </c>
      <c r="AC145" s="306">
        <f t="shared" si="19"/>
        <v>0</v>
      </c>
      <c r="AD145" s="305">
        <f>IFERROR(SUMIF(分娩監視装置!$C$30:$C$74,B145,分娩監視装置!$K$30:$K$74)*((分娩監視装置!$H$3-分娩監視装置!$I$3)/分娩監視装置!$H$3),0)</f>
        <v>0</v>
      </c>
      <c r="AE145" s="306">
        <f t="shared" si="34"/>
        <v>0</v>
      </c>
      <c r="AF145" s="305">
        <f>IFERROR(SUMIF(新生児モニタ!$C$30:$C$74,B145,新生児モニタ!$K$30:$K$74)*((新生児モニタ!$H$3-新生児モニタ!$I$3)/新生児モニタ!$H$3),0)</f>
        <v>0</v>
      </c>
      <c r="AG145" s="306">
        <f t="shared" si="35"/>
        <v>0</v>
      </c>
    </row>
    <row r="146" spans="2:33">
      <c r="B146" s="283" t="s">
        <v>959</v>
      </c>
      <c r="C146" s="305">
        <f>IFERROR(SUMIF(初度設備!$C$30:$C$74,B146,初度設備!$K$30:$K$74)*((初度設備!$H$3-初度設備!$I$3)/初度設備!$H$3),0)</f>
        <v>0</v>
      </c>
      <c r="D146" s="306">
        <f t="shared" si="20"/>
        <v>0</v>
      </c>
      <c r="E146" s="305">
        <f>IFERROR(SUMIF(人工呼吸器!$C$30:$C$74,B146,人工呼吸器!$K$30:$K$74)*((人工呼吸器!$H$3-人工呼吸器!$I$3)/人工呼吸器!$H$3),0)</f>
        <v>0</v>
      </c>
      <c r="F146" s="306">
        <f t="shared" si="21"/>
        <v>0</v>
      </c>
      <c r="G146" s="306">
        <f t="shared" si="22"/>
        <v>0</v>
      </c>
      <c r="H146" s="306">
        <f t="shared" si="23"/>
        <v>0</v>
      </c>
      <c r="I146" s="305">
        <f>IFERROR(SUMIF(簡易陰圧装置!$C$30:$C$74,B146,簡易陰圧装置!$K$30:$K$74)*((簡易陰圧装置!$H$3-簡易陰圧装置!$I$3)/簡易陰圧装置!$H$3),0)</f>
        <v>0</v>
      </c>
      <c r="J146" s="306">
        <f t="shared" si="24"/>
        <v>0</v>
      </c>
      <c r="K146" s="305">
        <f>IFERROR(SUMIF(簡易ベッド!$C$30:$C$74,B146,簡易ベッド!$K$30:$K$74)*((簡易ベッド!$H$3-簡易ベッド!$I$3)/簡易ベッド!$H$3),0)</f>
        <v>0</v>
      </c>
      <c r="L146" s="306">
        <f t="shared" si="25"/>
        <v>0</v>
      </c>
      <c r="M146" s="305">
        <f>IFERROR(SUMIF(体外式膜型人工肺!$C$30:$C$74,B146,体外式膜型人工肺!$K$30:$K$74)*((体外式膜型人工肺!$H$3-体外式膜型人工肺!$I$3)/体外式膜型人工肺!$H$3),0)</f>
        <v>0</v>
      </c>
      <c r="N146" s="306">
        <f t="shared" si="26"/>
        <v>0</v>
      </c>
      <c r="O146" s="306">
        <f t="shared" si="27"/>
        <v>0</v>
      </c>
      <c r="P146" s="306">
        <f t="shared" si="28"/>
        <v>0</v>
      </c>
      <c r="Q146" s="305">
        <f>IFERROR(SUMIF(紫外線照射装置!$C$30:$C$74,B146,紫外線照射装置!$K$30:$K$74)*((紫外線照射装置!$H$3-紫外線照射装置!$I$3)/紫外線照射装置!$H$3),0)</f>
        <v>0</v>
      </c>
      <c r="R146" s="306">
        <f t="shared" si="29"/>
        <v>0</v>
      </c>
      <c r="S146" s="419">
        <f t="shared" si="30"/>
        <v>0</v>
      </c>
      <c r="T146" s="305">
        <f>IFERROR(SUMIF(超音波画像診断装置!$C$30:$C$74,B146,超音波画像診断装置!$K$30:$K$74)*((超音波画像診断装置!$H$3-超音波画像診断装置!$I$3)/超音波画像診断装置!$H$3),0)</f>
        <v>0</v>
      </c>
      <c r="U146" s="306">
        <f t="shared" si="31"/>
        <v>0</v>
      </c>
      <c r="V146" s="305">
        <f>IFERROR(SUMIF(血液浄化装置!$C$30:$C$74,B146,血液浄化装置!$K$30:$K$74)*((血液浄化装置!$H$3-血液浄化装置!$I$3)/血液浄化装置!$H$3),0)</f>
        <v>0</v>
      </c>
      <c r="W146" s="306">
        <f t="shared" si="32"/>
        <v>0</v>
      </c>
      <c r="X146" s="305">
        <f>IFERROR(SUMIF(気管支鏡!$C$30:$C$74,B146,気管支鏡!$K$30:$K$74)*((気管支鏡!$H$3-気管支鏡!$I$3)/気管支鏡!$H$3),0)</f>
        <v>0</v>
      </c>
      <c r="Y146" s="306">
        <f t="shared" si="18"/>
        <v>0</v>
      </c>
      <c r="Z146" s="305">
        <f>IFERROR(SUMIF(CT撮影装置!$C$30:$C$74,B146,CT撮影装置!$K$30:$K$74)*((CT撮影装置!$H$3-CT撮影装置!$I$3)/CT撮影装置!$H$3),0)</f>
        <v>0</v>
      </c>
      <c r="AA146" s="306">
        <f t="shared" si="33"/>
        <v>0</v>
      </c>
      <c r="AB146" s="305">
        <f>IFERROR(SUMIF(生体情報モニタ!$C$30:$C$74,B146,生体情報モニタ!$K$30:$K$74)*((生体情報モニタ!$H$3-生体情報モニタ!$I$3)/生体情報モニタ!$H$3),0)</f>
        <v>0</v>
      </c>
      <c r="AC146" s="306">
        <f t="shared" si="19"/>
        <v>0</v>
      </c>
      <c r="AD146" s="305">
        <f>IFERROR(SUMIF(分娩監視装置!$C$30:$C$74,B146,分娩監視装置!$K$30:$K$74)*((分娩監視装置!$H$3-分娩監視装置!$I$3)/分娩監視装置!$H$3),0)</f>
        <v>0</v>
      </c>
      <c r="AE146" s="306">
        <f t="shared" si="34"/>
        <v>0</v>
      </c>
      <c r="AF146" s="305">
        <f>IFERROR(SUMIF(新生児モニタ!$C$30:$C$74,B146,新生児モニタ!$K$30:$K$74)*((新生児モニタ!$H$3-新生児モニタ!$I$3)/新生児モニタ!$H$3),0)</f>
        <v>0</v>
      </c>
      <c r="AG146" s="306">
        <f t="shared" si="35"/>
        <v>0</v>
      </c>
    </row>
    <row r="147" spans="2:33">
      <c r="B147" s="283" t="s">
        <v>960</v>
      </c>
      <c r="C147" s="305">
        <f>IFERROR(SUMIF(初度設備!$C$30:$C$74,B147,初度設備!$K$30:$K$74)*((初度設備!$H$3-初度設備!$I$3)/初度設備!$H$3),0)</f>
        <v>0</v>
      </c>
      <c r="D147" s="306">
        <f t="shared" si="20"/>
        <v>0</v>
      </c>
      <c r="E147" s="305">
        <f>IFERROR(SUMIF(人工呼吸器!$C$30:$C$74,B147,人工呼吸器!$K$30:$K$74)*((人工呼吸器!$H$3-人工呼吸器!$I$3)/人工呼吸器!$H$3),0)</f>
        <v>0</v>
      </c>
      <c r="F147" s="306">
        <f t="shared" si="21"/>
        <v>0</v>
      </c>
      <c r="G147" s="306">
        <f t="shared" si="22"/>
        <v>0</v>
      </c>
      <c r="H147" s="306">
        <f t="shared" si="23"/>
        <v>0</v>
      </c>
      <c r="I147" s="305">
        <f>IFERROR(SUMIF(簡易陰圧装置!$C$30:$C$74,B147,簡易陰圧装置!$K$30:$K$74)*((簡易陰圧装置!$H$3-簡易陰圧装置!$I$3)/簡易陰圧装置!$H$3),0)</f>
        <v>0</v>
      </c>
      <c r="J147" s="306">
        <f t="shared" si="24"/>
        <v>0</v>
      </c>
      <c r="K147" s="305">
        <f>IFERROR(SUMIF(簡易ベッド!$C$30:$C$74,B147,簡易ベッド!$K$30:$K$74)*((簡易ベッド!$H$3-簡易ベッド!$I$3)/簡易ベッド!$H$3),0)</f>
        <v>0</v>
      </c>
      <c r="L147" s="306">
        <f t="shared" si="25"/>
        <v>0</v>
      </c>
      <c r="M147" s="305">
        <f>IFERROR(SUMIF(体外式膜型人工肺!$C$30:$C$74,B147,体外式膜型人工肺!$K$30:$K$74)*((体外式膜型人工肺!$H$3-体外式膜型人工肺!$I$3)/体外式膜型人工肺!$H$3),0)</f>
        <v>0</v>
      </c>
      <c r="N147" s="306">
        <f t="shared" si="26"/>
        <v>0</v>
      </c>
      <c r="O147" s="306">
        <f t="shared" si="27"/>
        <v>0</v>
      </c>
      <c r="P147" s="306">
        <f t="shared" si="28"/>
        <v>0</v>
      </c>
      <c r="Q147" s="305">
        <f>IFERROR(SUMIF(紫外線照射装置!$C$30:$C$74,B147,紫外線照射装置!$K$30:$K$74)*((紫外線照射装置!$H$3-紫外線照射装置!$I$3)/紫外線照射装置!$H$3),0)</f>
        <v>0</v>
      </c>
      <c r="R147" s="306">
        <f t="shared" si="29"/>
        <v>0</v>
      </c>
      <c r="S147" s="419">
        <f t="shared" si="30"/>
        <v>0</v>
      </c>
      <c r="T147" s="305">
        <f>IFERROR(SUMIF(超音波画像診断装置!$C$30:$C$74,B147,超音波画像診断装置!$K$30:$K$74)*((超音波画像診断装置!$H$3-超音波画像診断装置!$I$3)/超音波画像診断装置!$H$3),0)</f>
        <v>0</v>
      </c>
      <c r="U147" s="306">
        <f t="shared" si="31"/>
        <v>0</v>
      </c>
      <c r="V147" s="305">
        <f>IFERROR(SUMIF(血液浄化装置!$C$30:$C$74,B147,血液浄化装置!$K$30:$K$74)*((血液浄化装置!$H$3-血液浄化装置!$I$3)/血液浄化装置!$H$3),0)</f>
        <v>0</v>
      </c>
      <c r="W147" s="306">
        <f t="shared" si="32"/>
        <v>0</v>
      </c>
      <c r="X147" s="305">
        <f>IFERROR(SUMIF(気管支鏡!$C$30:$C$74,B147,気管支鏡!$K$30:$K$74)*((気管支鏡!$H$3-気管支鏡!$I$3)/気管支鏡!$H$3),0)</f>
        <v>0</v>
      </c>
      <c r="Y147" s="306">
        <f t="shared" si="18"/>
        <v>0</v>
      </c>
      <c r="Z147" s="305">
        <f>IFERROR(SUMIF(CT撮影装置!$C$30:$C$74,B147,CT撮影装置!$K$30:$K$74)*((CT撮影装置!$H$3-CT撮影装置!$I$3)/CT撮影装置!$H$3),0)</f>
        <v>0</v>
      </c>
      <c r="AA147" s="306">
        <f t="shared" si="33"/>
        <v>0</v>
      </c>
      <c r="AB147" s="305">
        <f>IFERROR(SUMIF(生体情報モニタ!$C$30:$C$74,B147,生体情報モニタ!$K$30:$K$74)*((生体情報モニタ!$H$3-生体情報モニタ!$I$3)/生体情報モニタ!$H$3),0)</f>
        <v>0</v>
      </c>
      <c r="AC147" s="306">
        <f t="shared" si="19"/>
        <v>0</v>
      </c>
      <c r="AD147" s="305">
        <f>IFERROR(SUMIF(分娩監視装置!$C$30:$C$74,B147,分娩監視装置!$K$30:$K$74)*((分娩監視装置!$H$3-分娩監視装置!$I$3)/分娩監視装置!$H$3),0)</f>
        <v>0</v>
      </c>
      <c r="AE147" s="306">
        <f t="shared" si="34"/>
        <v>0</v>
      </c>
      <c r="AF147" s="305">
        <f>IFERROR(SUMIF(新生児モニタ!$C$30:$C$74,B147,新生児モニタ!$K$30:$K$74)*((新生児モニタ!$H$3-新生児モニタ!$I$3)/新生児モニタ!$H$3),0)</f>
        <v>0</v>
      </c>
      <c r="AG147" s="306">
        <f t="shared" si="35"/>
        <v>0</v>
      </c>
    </row>
    <row r="148" spans="2:33">
      <c r="B148" s="283" t="s">
        <v>961</v>
      </c>
      <c r="C148" s="305">
        <f>IFERROR(SUMIF(初度設備!$C$30:$C$74,B148,初度設備!$K$30:$K$74)*((初度設備!$H$3-初度設備!$I$3)/初度設備!$H$3),0)</f>
        <v>0</v>
      </c>
      <c r="D148" s="306">
        <f t="shared" si="20"/>
        <v>0</v>
      </c>
      <c r="E148" s="305">
        <f>IFERROR(SUMIF(人工呼吸器!$C$30:$C$74,B148,人工呼吸器!$K$30:$K$74)*((人工呼吸器!$H$3-人工呼吸器!$I$3)/人工呼吸器!$H$3),0)</f>
        <v>0</v>
      </c>
      <c r="F148" s="306">
        <f t="shared" si="21"/>
        <v>0</v>
      </c>
      <c r="G148" s="306">
        <f t="shared" si="22"/>
        <v>0</v>
      </c>
      <c r="H148" s="306">
        <f t="shared" si="23"/>
        <v>0</v>
      </c>
      <c r="I148" s="305">
        <f>IFERROR(SUMIF(簡易陰圧装置!$C$30:$C$74,B148,簡易陰圧装置!$K$30:$K$74)*((簡易陰圧装置!$H$3-簡易陰圧装置!$I$3)/簡易陰圧装置!$H$3),0)</f>
        <v>0</v>
      </c>
      <c r="J148" s="306">
        <f t="shared" si="24"/>
        <v>0</v>
      </c>
      <c r="K148" s="305">
        <f>IFERROR(SUMIF(簡易ベッド!$C$30:$C$74,B148,簡易ベッド!$K$30:$K$74)*((簡易ベッド!$H$3-簡易ベッド!$I$3)/簡易ベッド!$H$3),0)</f>
        <v>0</v>
      </c>
      <c r="L148" s="306">
        <f t="shared" si="25"/>
        <v>0</v>
      </c>
      <c r="M148" s="305">
        <f>IFERROR(SUMIF(体外式膜型人工肺!$C$30:$C$74,B148,体外式膜型人工肺!$K$30:$K$74)*((体外式膜型人工肺!$H$3-体外式膜型人工肺!$I$3)/体外式膜型人工肺!$H$3),0)</f>
        <v>0</v>
      </c>
      <c r="N148" s="306">
        <f t="shared" si="26"/>
        <v>0</v>
      </c>
      <c r="O148" s="306">
        <f t="shared" si="27"/>
        <v>0</v>
      </c>
      <c r="P148" s="306">
        <f t="shared" si="28"/>
        <v>0</v>
      </c>
      <c r="Q148" s="305">
        <f>IFERROR(SUMIF(紫外線照射装置!$C$30:$C$74,B148,紫外線照射装置!$K$30:$K$74)*((紫外線照射装置!$H$3-紫外線照射装置!$I$3)/紫外線照射装置!$H$3),0)</f>
        <v>0</v>
      </c>
      <c r="R148" s="306">
        <f t="shared" si="29"/>
        <v>0</v>
      </c>
      <c r="S148" s="419">
        <f t="shared" si="30"/>
        <v>0</v>
      </c>
      <c r="T148" s="305">
        <f>IFERROR(SUMIF(超音波画像診断装置!$C$30:$C$74,B148,超音波画像診断装置!$K$30:$K$74)*((超音波画像診断装置!$H$3-超音波画像診断装置!$I$3)/超音波画像診断装置!$H$3),0)</f>
        <v>0</v>
      </c>
      <c r="U148" s="306">
        <f t="shared" si="31"/>
        <v>0</v>
      </c>
      <c r="V148" s="305">
        <f>IFERROR(SUMIF(血液浄化装置!$C$30:$C$74,B148,血液浄化装置!$K$30:$K$74)*((血液浄化装置!$H$3-血液浄化装置!$I$3)/血液浄化装置!$H$3),0)</f>
        <v>0</v>
      </c>
      <c r="W148" s="306">
        <f t="shared" si="32"/>
        <v>0</v>
      </c>
      <c r="X148" s="305">
        <f>IFERROR(SUMIF(気管支鏡!$C$30:$C$74,B148,気管支鏡!$K$30:$K$74)*((気管支鏡!$H$3-気管支鏡!$I$3)/気管支鏡!$H$3),0)</f>
        <v>0</v>
      </c>
      <c r="Y148" s="306">
        <f t="shared" si="18"/>
        <v>0</v>
      </c>
      <c r="Z148" s="305">
        <f>IFERROR(SUMIF(CT撮影装置!$C$30:$C$74,B148,CT撮影装置!$K$30:$K$74)*((CT撮影装置!$H$3-CT撮影装置!$I$3)/CT撮影装置!$H$3),0)</f>
        <v>0</v>
      </c>
      <c r="AA148" s="306">
        <f t="shared" si="33"/>
        <v>0</v>
      </c>
      <c r="AB148" s="305">
        <f>IFERROR(SUMIF(生体情報モニタ!$C$30:$C$74,B148,生体情報モニタ!$K$30:$K$74)*((生体情報モニタ!$H$3-生体情報モニタ!$I$3)/生体情報モニタ!$H$3),0)</f>
        <v>0</v>
      </c>
      <c r="AC148" s="306">
        <f t="shared" si="19"/>
        <v>0</v>
      </c>
      <c r="AD148" s="305">
        <f>IFERROR(SUMIF(分娩監視装置!$C$30:$C$74,B148,分娩監視装置!$K$30:$K$74)*((分娩監視装置!$H$3-分娩監視装置!$I$3)/分娩監視装置!$H$3),0)</f>
        <v>0</v>
      </c>
      <c r="AE148" s="306">
        <f t="shared" si="34"/>
        <v>0</v>
      </c>
      <c r="AF148" s="305">
        <f>IFERROR(SUMIF(新生児モニタ!$C$30:$C$74,B148,新生児モニタ!$K$30:$K$74)*((新生児モニタ!$H$3-新生児モニタ!$I$3)/新生児モニタ!$H$3),0)</f>
        <v>0</v>
      </c>
      <c r="AG148" s="306">
        <f t="shared" si="35"/>
        <v>0</v>
      </c>
    </row>
    <row r="149" spans="2:33">
      <c r="B149" s="283" t="s">
        <v>962</v>
      </c>
      <c r="C149" s="305">
        <f>IFERROR(SUMIF(初度設備!$C$30:$C$74,B149,初度設備!$K$30:$K$74)*((初度設備!$H$3-初度設備!$I$3)/初度設備!$H$3),0)</f>
        <v>0</v>
      </c>
      <c r="D149" s="306">
        <f t="shared" si="20"/>
        <v>0</v>
      </c>
      <c r="E149" s="305">
        <f>IFERROR(SUMIF(人工呼吸器!$C$30:$C$74,B149,人工呼吸器!$K$30:$K$74)*((人工呼吸器!$H$3-人工呼吸器!$I$3)/人工呼吸器!$H$3),0)</f>
        <v>0</v>
      </c>
      <c r="F149" s="306">
        <f t="shared" si="21"/>
        <v>0</v>
      </c>
      <c r="G149" s="306">
        <f t="shared" si="22"/>
        <v>0</v>
      </c>
      <c r="H149" s="306">
        <f t="shared" si="23"/>
        <v>0</v>
      </c>
      <c r="I149" s="305">
        <f>IFERROR(SUMIF(簡易陰圧装置!$C$30:$C$74,B149,簡易陰圧装置!$K$30:$K$74)*((簡易陰圧装置!$H$3-簡易陰圧装置!$I$3)/簡易陰圧装置!$H$3),0)</f>
        <v>0</v>
      </c>
      <c r="J149" s="306">
        <f t="shared" si="24"/>
        <v>0</v>
      </c>
      <c r="K149" s="305">
        <f>IFERROR(SUMIF(簡易ベッド!$C$30:$C$74,B149,簡易ベッド!$K$30:$K$74)*((簡易ベッド!$H$3-簡易ベッド!$I$3)/簡易ベッド!$H$3),0)</f>
        <v>0</v>
      </c>
      <c r="L149" s="306">
        <f t="shared" si="25"/>
        <v>0</v>
      </c>
      <c r="M149" s="305">
        <f>IFERROR(SUMIF(体外式膜型人工肺!$C$30:$C$74,B149,体外式膜型人工肺!$K$30:$K$74)*((体外式膜型人工肺!$H$3-体外式膜型人工肺!$I$3)/体外式膜型人工肺!$H$3),0)</f>
        <v>0</v>
      </c>
      <c r="N149" s="306">
        <f t="shared" si="26"/>
        <v>0</v>
      </c>
      <c r="O149" s="306">
        <f t="shared" si="27"/>
        <v>0</v>
      </c>
      <c r="P149" s="306">
        <f t="shared" si="28"/>
        <v>0</v>
      </c>
      <c r="Q149" s="305">
        <f>IFERROR(SUMIF(紫外線照射装置!$C$30:$C$74,B149,紫外線照射装置!$K$30:$K$74)*((紫外線照射装置!$H$3-紫外線照射装置!$I$3)/紫外線照射装置!$H$3),0)</f>
        <v>0</v>
      </c>
      <c r="R149" s="306">
        <f t="shared" si="29"/>
        <v>0</v>
      </c>
      <c r="S149" s="419">
        <f t="shared" si="30"/>
        <v>0</v>
      </c>
      <c r="T149" s="305">
        <f>IFERROR(SUMIF(超音波画像診断装置!$C$30:$C$74,B149,超音波画像診断装置!$K$30:$K$74)*((超音波画像診断装置!$H$3-超音波画像診断装置!$I$3)/超音波画像診断装置!$H$3),0)</f>
        <v>0</v>
      </c>
      <c r="U149" s="306">
        <f t="shared" si="31"/>
        <v>0</v>
      </c>
      <c r="V149" s="305">
        <f>IFERROR(SUMIF(血液浄化装置!$C$30:$C$74,B149,血液浄化装置!$K$30:$K$74)*((血液浄化装置!$H$3-血液浄化装置!$I$3)/血液浄化装置!$H$3),0)</f>
        <v>0</v>
      </c>
      <c r="W149" s="306">
        <f t="shared" si="32"/>
        <v>0</v>
      </c>
      <c r="X149" s="305">
        <f>IFERROR(SUMIF(気管支鏡!$C$30:$C$74,B149,気管支鏡!$K$30:$K$74)*((気管支鏡!$H$3-気管支鏡!$I$3)/気管支鏡!$H$3),0)</f>
        <v>0</v>
      </c>
      <c r="Y149" s="306">
        <f t="shared" si="18"/>
        <v>0</v>
      </c>
      <c r="Z149" s="305">
        <f>IFERROR(SUMIF(CT撮影装置!$C$30:$C$74,B149,CT撮影装置!$K$30:$K$74)*((CT撮影装置!$H$3-CT撮影装置!$I$3)/CT撮影装置!$H$3),0)</f>
        <v>0</v>
      </c>
      <c r="AA149" s="306">
        <f t="shared" si="33"/>
        <v>0</v>
      </c>
      <c r="AB149" s="305">
        <f>IFERROR(SUMIF(生体情報モニタ!$C$30:$C$74,B149,生体情報モニタ!$K$30:$K$74)*((生体情報モニタ!$H$3-生体情報モニタ!$I$3)/生体情報モニタ!$H$3),0)</f>
        <v>0</v>
      </c>
      <c r="AC149" s="306">
        <f t="shared" si="19"/>
        <v>0</v>
      </c>
      <c r="AD149" s="305">
        <f>IFERROR(SUMIF(分娩監視装置!$C$30:$C$74,B149,分娩監視装置!$K$30:$K$74)*((分娩監視装置!$H$3-分娩監視装置!$I$3)/分娩監視装置!$H$3),0)</f>
        <v>0</v>
      </c>
      <c r="AE149" s="306">
        <f t="shared" si="34"/>
        <v>0</v>
      </c>
      <c r="AF149" s="305">
        <f>IFERROR(SUMIF(新生児モニタ!$C$30:$C$74,B149,新生児モニタ!$K$30:$K$74)*((新生児モニタ!$H$3-新生児モニタ!$I$3)/新生児モニタ!$H$3),0)</f>
        <v>0</v>
      </c>
      <c r="AG149" s="306">
        <f t="shared" si="35"/>
        <v>0</v>
      </c>
    </row>
    <row r="150" spans="2:33">
      <c r="B150" s="283" t="s">
        <v>963</v>
      </c>
      <c r="C150" s="305">
        <f>IFERROR(SUMIF(初度設備!$C$30:$C$74,B150,初度設備!$K$30:$K$74)*((初度設備!$H$3-初度設備!$I$3)/初度設備!$H$3),0)</f>
        <v>0</v>
      </c>
      <c r="D150" s="306">
        <f t="shared" si="20"/>
        <v>0</v>
      </c>
      <c r="E150" s="305">
        <f>IFERROR(SUMIF(人工呼吸器!$C$30:$C$74,B150,人工呼吸器!$K$30:$K$74)*((人工呼吸器!$H$3-人工呼吸器!$I$3)/人工呼吸器!$H$3),0)</f>
        <v>0</v>
      </c>
      <c r="F150" s="306">
        <f t="shared" si="21"/>
        <v>0</v>
      </c>
      <c r="G150" s="306">
        <f t="shared" si="22"/>
        <v>0</v>
      </c>
      <c r="H150" s="306">
        <f t="shared" si="23"/>
        <v>0</v>
      </c>
      <c r="I150" s="305">
        <f>IFERROR(SUMIF(簡易陰圧装置!$C$30:$C$74,B150,簡易陰圧装置!$K$30:$K$74)*((簡易陰圧装置!$H$3-簡易陰圧装置!$I$3)/簡易陰圧装置!$H$3),0)</f>
        <v>0</v>
      </c>
      <c r="J150" s="306">
        <f t="shared" si="24"/>
        <v>0</v>
      </c>
      <c r="K150" s="305">
        <f>IFERROR(SUMIF(簡易ベッド!$C$30:$C$74,B150,簡易ベッド!$K$30:$K$74)*((簡易ベッド!$H$3-簡易ベッド!$I$3)/簡易ベッド!$H$3),0)</f>
        <v>0</v>
      </c>
      <c r="L150" s="306">
        <f t="shared" si="25"/>
        <v>0</v>
      </c>
      <c r="M150" s="305">
        <f>IFERROR(SUMIF(体外式膜型人工肺!$C$30:$C$74,B150,体外式膜型人工肺!$K$30:$K$74)*((体外式膜型人工肺!$H$3-体外式膜型人工肺!$I$3)/体外式膜型人工肺!$H$3),0)</f>
        <v>0</v>
      </c>
      <c r="N150" s="306">
        <f t="shared" si="26"/>
        <v>0</v>
      </c>
      <c r="O150" s="306">
        <f t="shared" si="27"/>
        <v>0</v>
      </c>
      <c r="P150" s="306">
        <f t="shared" si="28"/>
        <v>0</v>
      </c>
      <c r="Q150" s="305">
        <f>IFERROR(SUMIF(紫外線照射装置!$C$30:$C$74,B150,紫外線照射装置!$K$30:$K$74)*((紫外線照射装置!$H$3-紫外線照射装置!$I$3)/紫外線照射装置!$H$3),0)</f>
        <v>0</v>
      </c>
      <c r="R150" s="306">
        <f t="shared" si="29"/>
        <v>0</v>
      </c>
      <c r="S150" s="419">
        <f t="shared" si="30"/>
        <v>0</v>
      </c>
      <c r="T150" s="305">
        <f>IFERROR(SUMIF(超音波画像診断装置!$C$30:$C$74,B150,超音波画像診断装置!$K$30:$K$74)*((超音波画像診断装置!$H$3-超音波画像診断装置!$I$3)/超音波画像診断装置!$H$3),0)</f>
        <v>0</v>
      </c>
      <c r="U150" s="306">
        <f t="shared" si="31"/>
        <v>0</v>
      </c>
      <c r="V150" s="305">
        <f>IFERROR(SUMIF(血液浄化装置!$C$30:$C$74,B150,血液浄化装置!$K$30:$K$74)*((血液浄化装置!$H$3-血液浄化装置!$I$3)/血液浄化装置!$H$3),0)</f>
        <v>0</v>
      </c>
      <c r="W150" s="306">
        <f t="shared" si="32"/>
        <v>0</v>
      </c>
      <c r="X150" s="305">
        <f>IFERROR(SUMIF(気管支鏡!$C$30:$C$74,B150,気管支鏡!$K$30:$K$74)*((気管支鏡!$H$3-気管支鏡!$I$3)/気管支鏡!$H$3),0)</f>
        <v>0</v>
      </c>
      <c r="Y150" s="306">
        <f t="shared" si="18"/>
        <v>0</v>
      </c>
      <c r="Z150" s="305">
        <f>IFERROR(SUMIF(CT撮影装置!$C$30:$C$74,B150,CT撮影装置!$K$30:$K$74)*((CT撮影装置!$H$3-CT撮影装置!$I$3)/CT撮影装置!$H$3),0)</f>
        <v>0</v>
      </c>
      <c r="AA150" s="306">
        <f t="shared" si="33"/>
        <v>0</v>
      </c>
      <c r="AB150" s="305">
        <f>IFERROR(SUMIF(生体情報モニタ!$C$30:$C$74,B150,生体情報モニタ!$K$30:$K$74)*((生体情報モニタ!$H$3-生体情報モニタ!$I$3)/生体情報モニタ!$H$3),0)</f>
        <v>0</v>
      </c>
      <c r="AC150" s="306">
        <f t="shared" si="19"/>
        <v>0</v>
      </c>
      <c r="AD150" s="305">
        <f>IFERROR(SUMIF(分娩監視装置!$C$30:$C$74,B150,分娩監視装置!$K$30:$K$74)*((分娩監視装置!$H$3-分娩監視装置!$I$3)/分娩監視装置!$H$3),0)</f>
        <v>0</v>
      </c>
      <c r="AE150" s="306">
        <f t="shared" si="34"/>
        <v>0</v>
      </c>
      <c r="AF150" s="305">
        <f>IFERROR(SUMIF(新生児モニタ!$C$30:$C$74,B150,新生児モニタ!$K$30:$K$74)*((新生児モニタ!$H$3-新生児モニタ!$I$3)/新生児モニタ!$H$3),0)</f>
        <v>0</v>
      </c>
      <c r="AG150" s="306">
        <f t="shared" si="35"/>
        <v>0</v>
      </c>
    </row>
    <row r="151" spans="2:33">
      <c r="B151" s="283" t="s">
        <v>964</v>
      </c>
      <c r="C151" s="305">
        <f>IFERROR(SUMIF(初度設備!$C$30:$C$74,B151,初度設備!$K$30:$K$74)*((初度設備!$H$3-初度設備!$I$3)/初度設備!$H$3),0)</f>
        <v>0</v>
      </c>
      <c r="D151" s="306">
        <f t="shared" si="20"/>
        <v>0</v>
      </c>
      <c r="E151" s="305">
        <f>IFERROR(SUMIF(人工呼吸器!$C$30:$C$74,B151,人工呼吸器!$K$30:$K$74)*((人工呼吸器!$H$3-人工呼吸器!$I$3)/人工呼吸器!$H$3),0)</f>
        <v>0</v>
      </c>
      <c r="F151" s="306">
        <f t="shared" si="21"/>
        <v>0</v>
      </c>
      <c r="G151" s="306">
        <f t="shared" si="22"/>
        <v>0</v>
      </c>
      <c r="H151" s="306">
        <f t="shared" si="23"/>
        <v>0</v>
      </c>
      <c r="I151" s="305">
        <f>IFERROR(SUMIF(簡易陰圧装置!$C$30:$C$74,B151,簡易陰圧装置!$K$30:$K$74)*((簡易陰圧装置!$H$3-簡易陰圧装置!$I$3)/簡易陰圧装置!$H$3),0)</f>
        <v>0</v>
      </c>
      <c r="J151" s="306">
        <f t="shared" si="24"/>
        <v>0</v>
      </c>
      <c r="K151" s="305">
        <f>IFERROR(SUMIF(簡易ベッド!$C$30:$C$74,B151,簡易ベッド!$K$30:$K$74)*((簡易ベッド!$H$3-簡易ベッド!$I$3)/簡易ベッド!$H$3),0)</f>
        <v>0</v>
      </c>
      <c r="L151" s="306">
        <f t="shared" si="25"/>
        <v>0</v>
      </c>
      <c r="M151" s="305">
        <f>IFERROR(SUMIF(体外式膜型人工肺!$C$30:$C$74,B151,体外式膜型人工肺!$K$30:$K$74)*((体外式膜型人工肺!$H$3-体外式膜型人工肺!$I$3)/体外式膜型人工肺!$H$3),0)</f>
        <v>0</v>
      </c>
      <c r="N151" s="306">
        <f t="shared" si="26"/>
        <v>0</v>
      </c>
      <c r="O151" s="306">
        <f t="shared" si="27"/>
        <v>0</v>
      </c>
      <c r="P151" s="306">
        <f t="shared" si="28"/>
        <v>0</v>
      </c>
      <c r="Q151" s="305">
        <f>IFERROR(SUMIF(紫外線照射装置!$C$30:$C$74,B151,紫外線照射装置!$K$30:$K$74)*((紫外線照射装置!$H$3-紫外線照射装置!$I$3)/紫外線照射装置!$H$3),0)</f>
        <v>0</v>
      </c>
      <c r="R151" s="306">
        <f t="shared" si="29"/>
        <v>0</v>
      </c>
      <c r="S151" s="419">
        <f t="shared" si="30"/>
        <v>0</v>
      </c>
      <c r="T151" s="305">
        <f>IFERROR(SUMIF(超音波画像診断装置!$C$30:$C$74,B151,超音波画像診断装置!$K$30:$K$74)*((超音波画像診断装置!$H$3-超音波画像診断装置!$I$3)/超音波画像診断装置!$H$3),0)</f>
        <v>0</v>
      </c>
      <c r="U151" s="306">
        <f t="shared" si="31"/>
        <v>0</v>
      </c>
      <c r="V151" s="305">
        <f>IFERROR(SUMIF(血液浄化装置!$C$30:$C$74,B151,血液浄化装置!$K$30:$K$74)*((血液浄化装置!$H$3-血液浄化装置!$I$3)/血液浄化装置!$H$3),0)</f>
        <v>0</v>
      </c>
      <c r="W151" s="306">
        <f t="shared" si="32"/>
        <v>0</v>
      </c>
      <c r="X151" s="305">
        <f>IFERROR(SUMIF(気管支鏡!$C$30:$C$74,B151,気管支鏡!$K$30:$K$74)*((気管支鏡!$H$3-気管支鏡!$I$3)/気管支鏡!$H$3),0)</f>
        <v>0</v>
      </c>
      <c r="Y151" s="306">
        <f t="shared" ref="Y151:Y214" si="36">ROUNDDOWN(MIN(X151,$Y$21),-3)</f>
        <v>0</v>
      </c>
      <c r="Z151" s="305">
        <f>IFERROR(SUMIF(CT撮影装置!$C$30:$C$74,B151,CT撮影装置!$K$30:$K$74)*((CT撮影装置!$H$3-CT撮影装置!$I$3)/CT撮影装置!$H$3),0)</f>
        <v>0</v>
      </c>
      <c r="AA151" s="306">
        <f t="shared" si="33"/>
        <v>0</v>
      </c>
      <c r="AB151" s="305">
        <f>IFERROR(SUMIF(生体情報モニタ!$C$30:$C$74,B151,生体情報モニタ!$K$30:$K$74)*((生体情報モニタ!$H$3-生体情報モニタ!$I$3)/生体情報モニタ!$H$3),0)</f>
        <v>0</v>
      </c>
      <c r="AC151" s="306">
        <f t="shared" ref="AC151:AC214" si="37">ROUNDDOWN(MIN(AB151,$AC$21),-3)</f>
        <v>0</v>
      </c>
      <c r="AD151" s="305">
        <f>IFERROR(SUMIF(分娩監視装置!$C$30:$C$74,B151,分娩監視装置!$K$30:$K$74)*((分娩監視装置!$H$3-分娩監視装置!$I$3)/分娩監視装置!$H$3),0)</f>
        <v>0</v>
      </c>
      <c r="AE151" s="306">
        <f t="shared" si="34"/>
        <v>0</v>
      </c>
      <c r="AF151" s="305">
        <f>IFERROR(SUMIF(新生児モニタ!$C$30:$C$74,B151,新生児モニタ!$K$30:$K$74)*((新生児モニタ!$H$3-新生児モニタ!$I$3)/新生児モニタ!$H$3),0)</f>
        <v>0</v>
      </c>
      <c r="AG151" s="306">
        <f t="shared" si="35"/>
        <v>0</v>
      </c>
    </row>
    <row r="152" spans="2:33">
      <c r="B152" s="283" t="s">
        <v>965</v>
      </c>
      <c r="C152" s="305">
        <f>IFERROR(SUMIF(初度設備!$C$30:$C$74,B152,初度設備!$K$30:$K$74)*((初度設備!$H$3-初度設備!$I$3)/初度設備!$H$3),0)</f>
        <v>0</v>
      </c>
      <c r="D152" s="306">
        <f t="shared" ref="D152:D215" si="38">ROUNDDOWN(MIN(C152,$D$21),-3)</f>
        <v>0</v>
      </c>
      <c r="E152" s="305">
        <f>IFERROR(SUMIF(人工呼吸器!$C$30:$C$74,B152,人工呼吸器!$K$30:$K$74)*((人工呼吸器!$H$3-人工呼吸器!$I$3)/人工呼吸器!$H$3),0)</f>
        <v>0</v>
      </c>
      <c r="F152" s="306">
        <f t="shared" ref="F152:F215" si="39">ROUNDDOWN(E152,-3)</f>
        <v>0</v>
      </c>
      <c r="G152" s="306">
        <f t="shared" ref="G152:G215" si="40">IF(F152&gt;=5000000,5000000,F152)</f>
        <v>0</v>
      </c>
      <c r="H152" s="306">
        <f t="shared" ref="H152:H215" si="41">IF(G152=5000000,F152-5000000,0)</f>
        <v>0</v>
      </c>
      <c r="I152" s="305">
        <f>IFERROR(SUMIF(簡易陰圧装置!$C$30:$C$74,B152,簡易陰圧装置!$K$30:$K$74)*((簡易陰圧装置!$H$3-簡易陰圧装置!$I$3)/簡易陰圧装置!$H$3),0)</f>
        <v>0</v>
      </c>
      <c r="J152" s="306">
        <f t="shared" ref="J152:J215" si="42">ROUNDDOWN(MIN(I152,$J$21),-3)</f>
        <v>0</v>
      </c>
      <c r="K152" s="305">
        <f>IFERROR(SUMIF(簡易ベッド!$C$30:$C$74,B152,簡易ベッド!$K$30:$K$74)*((簡易ベッド!$H$3-簡易ベッド!$I$3)/簡易ベッド!$H$3),0)</f>
        <v>0</v>
      </c>
      <c r="L152" s="306">
        <f t="shared" ref="L152:L215" si="43">ROUNDDOWN(MIN(K152,$L$21),-3)</f>
        <v>0</v>
      </c>
      <c r="M152" s="305">
        <f>IFERROR(SUMIF(体外式膜型人工肺!$C$30:$C$74,B152,体外式膜型人工肺!$K$30:$K$74)*((体外式膜型人工肺!$H$3-体外式膜型人工肺!$I$3)/体外式膜型人工肺!$H$3),0)</f>
        <v>0</v>
      </c>
      <c r="N152" s="306">
        <f t="shared" ref="N152:N215" si="44">ROUNDDOWN(M152,-3)</f>
        <v>0</v>
      </c>
      <c r="O152" s="306">
        <f t="shared" ref="O152:O215" si="45">IF(N152&gt;=21000000,21000000,N152)</f>
        <v>0</v>
      </c>
      <c r="P152" s="306">
        <f t="shared" ref="P152:P215" si="46">IF(O152=21000000,N152-21000000,0)</f>
        <v>0</v>
      </c>
      <c r="Q152" s="305">
        <f>IFERROR(SUMIF(紫外線照射装置!$C$30:$C$74,B152,紫外線照射装置!$K$30:$K$74)*((紫外線照射装置!$H$3-紫外線照射装置!$I$3)/紫外線照射装置!$H$3),0)</f>
        <v>0</v>
      </c>
      <c r="R152" s="306">
        <f t="shared" ref="R152:R215" si="47">IFERROR(ROUNDDOWN(MIN(Q152,$R$21)/2,-3),0)</f>
        <v>0</v>
      </c>
      <c r="S152" s="419">
        <f t="shared" ref="S152:S215" si="48">R152</f>
        <v>0</v>
      </c>
      <c r="T152" s="305">
        <f>IFERROR(SUMIF(超音波画像診断装置!$C$30:$C$74,B152,超音波画像診断装置!$K$30:$K$74)*((超音波画像診断装置!$H$3-超音波画像診断装置!$I$3)/超音波画像診断装置!$H$3),0)</f>
        <v>0</v>
      </c>
      <c r="U152" s="306">
        <f t="shared" ref="U152:U215" si="49">ROUNDDOWN(MIN(T152,$U$21),-3)</f>
        <v>0</v>
      </c>
      <c r="V152" s="305">
        <f>IFERROR(SUMIF(血液浄化装置!$C$30:$C$74,B152,血液浄化装置!$K$30:$K$74)*((血液浄化装置!$H$3-血液浄化装置!$I$3)/血液浄化装置!$H$3),0)</f>
        <v>0</v>
      </c>
      <c r="W152" s="306">
        <f t="shared" ref="W152:W215" si="50">ROUNDDOWN(MIN(V152,$W$21),-3)</f>
        <v>0</v>
      </c>
      <c r="X152" s="305">
        <f>IFERROR(SUMIF(気管支鏡!$C$30:$C$74,B152,気管支鏡!$K$30:$K$74)*((気管支鏡!$H$3-気管支鏡!$I$3)/気管支鏡!$H$3),0)</f>
        <v>0</v>
      </c>
      <c r="Y152" s="306">
        <f t="shared" si="36"/>
        <v>0</v>
      </c>
      <c r="Z152" s="305">
        <f>IFERROR(SUMIF(CT撮影装置!$C$30:$C$74,B152,CT撮影装置!$K$30:$K$74)*((CT撮影装置!$H$3-CT撮影装置!$I$3)/CT撮影装置!$H$3),0)</f>
        <v>0</v>
      </c>
      <c r="AA152" s="306">
        <f t="shared" ref="AA152:AA215" si="51">ROUNDDOWN(MIN(Z152,$AA$21),-3)</f>
        <v>0</v>
      </c>
      <c r="AB152" s="305">
        <f>IFERROR(SUMIF(生体情報モニタ!$C$30:$C$74,B152,生体情報モニタ!$K$30:$K$74)*((生体情報モニタ!$H$3-生体情報モニタ!$I$3)/生体情報モニタ!$H$3),0)</f>
        <v>0</v>
      </c>
      <c r="AC152" s="306">
        <f t="shared" si="37"/>
        <v>0</v>
      </c>
      <c r="AD152" s="305">
        <f>IFERROR(SUMIF(分娩監視装置!$C$30:$C$74,B152,分娩監視装置!$K$30:$K$74)*((分娩監視装置!$H$3-分娩監視装置!$I$3)/分娩監視装置!$H$3),0)</f>
        <v>0</v>
      </c>
      <c r="AE152" s="306">
        <f t="shared" ref="AE152:AE215" si="52">ROUNDDOWN(MIN(AD152,$AE$21),-3)</f>
        <v>0</v>
      </c>
      <c r="AF152" s="305">
        <f>IFERROR(SUMIF(新生児モニタ!$C$30:$C$74,B152,新生児モニタ!$K$30:$K$74)*((新生児モニタ!$H$3-新生児モニタ!$I$3)/新生児モニタ!$H$3),0)</f>
        <v>0</v>
      </c>
      <c r="AG152" s="306">
        <f t="shared" ref="AG152:AG215" si="53">ROUNDDOWN(MIN(AF152,$AG$21),-3)</f>
        <v>0</v>
      </c>
    </row>
    <row r="153" spans="2:33">
      <c r="B153" s="283" t="s">
        <v>966</v>
      </c>
      <c r="C153" s="305">
        <f>IFERROR(SUMIF(初度設備!$C$30:$C$74,B153,初度設備!$K$30:$K$74)*((初度設備!$H$3-初度設備!$I$3)/初度設備!$H$3),0)</f>
        <v>0</v>
      </c>
      <c r="D153" s="306">
        <f t="shared" si="38"/>
        <v>0</v>
      </c>
      <c r="E153" s="305">
        <f>IFERROR(SUMIF(人工呼吸器!$C$30:$C$74,B153,人工呼吸器!$K$30:$K$74)*((人工呼吸器!$H$3-人工呼吸器!$I$3)/人工呼吸器!$H$3),0)</f>
        <v>0</v>
      </c>
      <c r="F153" s="306">
        <f t="shared" si="39"/>
        <v>0</v>
      </c>
      <c r="G153" s="306">
        <f t="shared" si="40"/>
        <v>0</v>
      </c>
      <c r="H153" s="306">
        <f t="shared" si="41"/>
        <v>0</v>
      </c>
      <c r="I153" s="305">
        <f>IFERROR(SUMIF(簡易陰圧装置!$C$30:$C$74,B153,簡易陰圧装置!$K$30:$K$74)*((簡易陰圧装置!$H$3-簡易陰圧装置!$I$3)/簡易陰圧装置!$H$3),0)</f>
        <v>0</v>
      </c>
      <c r="J153" s="306">
        <f t="shared" si="42"/>
        <v>0</v>
      </c>
      <c r="K153" s="305">
        <f>IFERROR(SUMIF(簡易ベッド!$C$30:$C$74,B153,簡易ベッド!$K$30:$K$74)*((簡易ベッド!$H$3-簡易ベッド!$I$3)/簡易ベッド!$H$3),0)</f>
        <v>0</v>
      </c>
      <c r="L153" s="306">
        <f t="shared" si="43"/>
        <v>0</v>
      </c>
      <c r="M153" s="305">
        <f>IFERROR(SUMIF(体外式膜型人工肺!$C$30:$C$74,B153,体外式膜型人工肺!$K$30:$K$74)*((体外式膜型人工肺!$H$3-体外式膜型人工肺!$I$3)/体外式膜型人工肺!$H$3),0)</f>
        <v>0</v>
      </c>
      <c r="N153" s="306">
        <f t="shared" si="44"/>
        <v>0</v>
      </c>
      <c r="O153" s="306">
        <f t="shared" si="45"/>
        <v>0</v>
      </c>
      <c r="P153" s="306">
        <f t="shared" si="46"/>
        <v>0</v>
      </c>
      <c r="Q153" s="305">
        <f>IFERROR(SUMIF(紫外線照射装置!$C$30:$C$74,B153,紫外線照射装置!$K$30:$K$74)*((紫外線照射装置!$H$3-紫外線照射装置!$I$3)/紫外線照射装置!$H$3),0)</f>
        <v>0</v>
      </c>
      <c r="R153" s="306">
        <f t="shared" si="47"/>
        <v>0</v>
      </c>
      <c r="S153" s="419">
        <f t="shared" si="48"/>
        <v>0</v>
      </c>
      <c r="T153" s="305">
        <f>IFERROR(SUMIF(超音波画像診断装置!$C$30:$C$74,B153,超音波画像診断装置!$K$30:$K$74)*((超音波画像診断装置!$H$3-超音波画像診断装置!$I$3)/超音波画像診断装置!$H$3),0)</f>
        <v>0</v>
      </c>
      <c r="U153" s="306">
        <f t="shared" si="49"/>
        <v>0</v>
      </c>
      <c r="V153" s="305">
        <f>IFERROR(SUMIF(血液浄化装置!$C$30:$C$74,B153,血液浄化装置!$K$30:$K$74)*((血液浄化装置!$H$3-血液浄化装置!$I$3)/血液浄化装置!$H$3),0)</f>
        <v>0</v>
      </c>
      <c r="W153" s="306">
        <f t="shared" si="50"/>
        <v>0</v>
      </c>
      <c r="X153" s="305">
        <f>IFERROR(SUMIF(気管支鏡!$C$30:$C$74,B153,気管支鏡!$K$30:$K$74)*((気管支鏡!$H$3-気管支鏡!$I$3)/気管支鏡!$H$3),0)</f>
        <v>0</v>
      </c>
      <c r="Y153" s="306">
        <f t="shared" si="36"/>
        <v>0</v>
      </c>
      <c r="Z153" s="305">
        <f>IFERROR(SUMIF(CT撮影装置!$C$30:$C$74,B153,CT撮影装置!$K$30:$K$74)*((CT撮影装置!$H$3-CT撮影装置!$I$3)/CT撮影装置!$H$3),0)</f>
        <v>0</v>
      </c>
      <c r="AA153" s="306">
        <f t="shared" si="51"/>
        <v>0</v>
      </c>
      <c r="AB153" s="305">
        <f>IFERROR(SUMIF(生体情報モニタ!$C$30:$C$74,B153,生体情報モニタ!$K$30:$K$74)*((生体情報モニタ!$H$3-生体情報モニタ!$I$3)/生体情報モニタ!$H$3),0)</f>
        <v>0</v>
      </c>
      <c r="AC153" s="306">
        <f t="shared" si="37"/>
        <v>0</v>
      </c>
      <c r="AD153" s="305">
        <f>IFERROR(SUMIF(分娩監視装置!$C$30:$C$74,B153,分娩監視装置!$K$30:$K$74)*((分娩監視装置!$H$3-分娩監視装置!$I$3)/分娩監視装置!$H$3),0)</f>
        <v>0</v>
      </c>
      <c r="AE153" s="306">
        <f t="shared" si="52"/>
        <v>0</v>
      </c>
      <c r="AF153" s="305">
        <f>IFERROR(SUMIF(新生児モニタ!$C$30:$C$74,B153,新生児モニタ!$K$30:$K$74)*((新生児モニタ!$H$3-新生児モニタ!$I$3)/新生児モニタ!$H$3),0)</f>
        <v>0</v>
      </c>
      <c r="AG153" s="306">
        <f t="shared" si="53"/>
        <v>0</v>
      </c>
    </row>
    <row r="154" spans="2:33">
      <c r="B154" s="283" t="s">
        <v>967</v>
      </c>
      <c r="C154" s="305">
        <f>IFERROR(SUMIF(初度設備!$C$30:$C$74,B154,初度設備!$K$30:$K$74)*((初度設備!$H$3-初度設備!$I$3)/初度設備!$H$3),0)</f>
        <v>0</v>
      </c>
      <c r="D154" s="306">
        <f t="shared" si="38"/>
        <v>0</v>
      </c>
      <c r="E154" s="305">
        <f>IFERROR(SUMIF(人工呼吸器!$C$30:$C$74,B154,人工呼吸器!$K$30:$K$74)*((人工呼吸器!$H$3-人工呼吸器!$I$3)/人工呼吸器!$H$3),0)</f>
        <v>0</v>
      </c>
      <c r="F154" s="306">
        <f t="shared" si="39"/>
        <v>0</v>
      </c>
      <c r="G154" s="306">
        <f t="shared" si="40"/>
        <v>0</v>
      </c>
      <c r="H154" s="306">
        <f t="shared" si="41"/>
        <v>0</v>
      </c>
      <c r="I154" s="305">
        <f>IFERROR(SUMIF(簡易陰圧装置!$C$30:$C$74,B154,簡易陰圧装置!$K$30:$K$74)*((簡易陰圧装置!$H$3-簡易陰圧装置!$I$3)/簡易陰圧装置!$H$3),0)</f>
        <v>0</v>
      </c>
      <c r="J154" s="306">
        <f t="shared" si="42"/>
        <v>0</v>
      </c>
      <c r="K154" s="305">
        <f>IFERROR(SUMIF(簡易ベッド!$C$30:$C$74,B154,簡易ベッド!$K$30:$K$74)*((簡易ベッド!$H$3-簡易ベッド!$I$3)/簡易ベッド!$H$3),0)</f>
        <v>0</v>
      </c>
      <c r="L154" s="306">
        <f t="shared" si="43"/>
        <v>0</v>
      </c>
      <c r="M154" s="305">
        <f>IFERROR(SUMIF(体外式膜型人工肺!$C$30:$C$74,B154,体外式膜型人工肺!$K$30:$K$74)*((体外式膜型人工肺!$H$3-体外式膜型人工肺!$I$3)/体外式膜型人工肺!$H$3),0)</f>
        <v>0</v>
      </c>
      <c r="N154" s="306">
        <f t="shared" si="44"/>
        <v>0</v>
      </c>
      <c r="O154" s="306">
        <f t="shared" si="45"/>
        <v>0</v>
      </c>
      <c r="P154" s="306">
        <f t="shared" si="46"/>
        <v>0</v>
      </c>
      <c r="Q154" s="305">
        <f>IFERROR(SUMIF(紫外線照射装置!$C$30:$C$74,B154,紫外線照射装置!$K$30:$K$74)*((紫外線照射装置!$H$3-紫外線照射装置!$I$3)/紫外線照射装置!$H$3),0)</f>
        <v>0</v>
      </c>
      <c r="R154" s="306">
        <f t="shared" si="47"/>
        <v>0</v>
      </c>
      <c r="S154" s="419">
        <f t="shared" si="48"/>
        <v>0</v>
      </c>
      <c r="T154" s="305">
        <f>IFERROR(SUMIF(超音波画像診断装置!$C$30:$C$74,B154,超音波画像診断装置!$K$30:$K$74)*((超音波画像診断装置!$H$3-超音波画像診断装置!$I$3)/超音波画像診断装置!$H$3),0)</f>
        <v>0</v>
      </c>
      <c r="U154" s="306">
        <f t="shared" si="49"/>
        <v>0</v>
      </c>
      <c r="V154" s="305">
        <f>IFERROR(SUMIF(血液浄化装置!$C$30:$C$74,B154,血液浄化装置!$K$30:$K$74)*((血液浄化装置!$H$3-血液浄化装置!$I$3)/血液浄化装置!$H$3),0)</f>
        <v>0</v>
      </c>
      <c r="W154" s="306">
        <f t="shared" si="50"/>
        <v>0</v>
      </c>
      <c r="X154" s="305">
        <f>IFERROR(SUMIF(気管支鏡!$C$30:$C$74,B154,気管支鏡!$K$30:$K$74)*((気管支鏡!$H$3-気管支鏡!$I$3)/気管支鏡!$H$3),0)</f>
        <v>0</v>
      </c>
      <c r="Y154" s="306">
        <f t="shared" si="36"/>
        <v>0</v>
      </c>
      <c r="Z154" s="305">
        <f>IFERROR(SUMIF(CT撮影装置!$C$30:$C$74,B154,CT撮影装置!$K$30:$K$74)*((CT撮影装置!$H$3-CT撮影装置!$I$3)/CT撮影装置!$H$3),0)</f>
        <v>0</v>
      </c>
      <c r="AA154" s="306">
        <f t="shared" si="51"/>
        <v>0</v>
      </c>
      <c r="AB154" s="305">
        <f>IFERROR(SUMIF(生体情報モニタ!$C$30:$C$74,B154,生体情報モニタ!$K$30:$K$74)*((生体情報モニタ!$H$3-生体情報モニタ!$I$3)/生体情報モニタ!$H$3),0)</f>
        <v>0</v>
      </c>
      <c r="AC154" s="306">
        <f t="shared" si="37"/>
        <v>0</v>
      </c>
      <c r="AD154" s="305">
        <f>IFERROR(SUMIF(分娩監視装置!$C$30:$C$74,B154,分娩監視装置!$K$30:$K$74)*((分娩監視装置!$H$3-分娩監視装置!$I$3)/分娩監視装置!$H$3),0)</f>
        <v>0</v>
      </c>
      <c r="AE154" s="306">
        <f t="shared" si="52"/>
        <v>0</v>
      </c>
      <c r="AF154" s="305">
        <f>IFERROR(SUMIF(新生児モニタ!$C$30:$C$74,B154,新生児モニタ!$K$30:$K$74)*((新生児モニタ!$H$3-新生児モニタ!$I$3)/新生児モニタ!$H$3),0)</f>
        <v>0</v>
      </c>
      <c r="AG154" s="306">
        <f t="shared" si="53"/>
        <v>0</v>
      </c>
    </row>
    <row r="155" spans="2:33">
      <c r="B155" s="283" t="s">
        <v>968</v>
      </c>
      <c r="C155" s="305">
        <f>IFERROR(SUMIF(初度設備!$C$30:$C$74,B155,初度設備!$K$30:$K$74)*((初度設備!$H$3-初度設備!$I$3)/初度設備!$H$3),0)</f>
        <v>0</v>
      </c>
      <c r="D155" s="306">
        <f t="shared" si="38"/>
        <v>0</v>
      </c>
      <c r="E155" s="305">
        <f>IFERROR(SUMIF(人工呼吸器!$C$30:$C$74,B155,人工呼吸器!$K$30:$K$74)*((人工呼吸器!$H$3-人工呼吸器!$I$3)/人工呼吸器!$H$3),0)</f>
        <v>0</v>
      </c>
      <c r="F155" s="306">
        <f t="shared" si="39"/>
        <v>0</v>
      </c>
      <c r="G155" s="306">
        <f t="shared" si="40"/>
        <v>0</v>
      </c>
      <c r="H155" s="306">
        <f t="shared" si="41"/>
        <v>0</v>
      </c>
      <c r="I155" s="305">
        <f>IFERROR(SUMIF(簡易陰圧装置!$C$30:$C$74,B155,簡易陰圧装置!$K$30:$K$74)*((簡易陰圧装置!$H$3-簡易陰圧装置!$I$3)/簡易陰圧装置!$H$3),0)</f>
        <v>0</v>
      </c>
      <c r="J155" s="306">
        <f t="shared" si="42"/>
        <v>0</v>
      </c>
      <c r="K155" s="305">
        <f>IFERROR(SUMIF(簡易ベッド!$C$30:$C$74,B155,簡易ベッド!$K$30:$K$74)*((簡易ベッド!$H$3-簡易ベッド!$I$3)/簡易ベッド!$H$3),0)</f>
        <v>0</v>
      </c>
      <c r="L155" s="306">
        <f t="shared" si="43"/>
        <v>0</v>
      </c>
      <c r="M155" s="305">
        <f>IFERROR(SUMIF(体外式膜型人工肺!$C$30:$C$74,B155,体外式膜型人工肺!$K$30:$K$74)*((体外式膜型人工肺!$H$3-体外式膜型人工肺!$I$3)/体外式膜型人工肺!$H$3),0)</f>
        <v>0</v>
      </c>
      <c r="N155" s="306">
        <f t="shared" si="44"/>
        <v>0</v>
      </c>
      <c r="O155" s="306">
        <f t="shared" si="45"/>
        <v>0</v>
      </c>
      <c r="P155" s="306">
        <f t="shared" si="46"/>
        <v>0</v>
      </c>
      <c r="Q155" s="305">
        <f>IFERROR(SUMIF(紫外線照射装置!$C$30:$C$74,B155,紫外線照射装置!$K$30:$K$74)*((紫外線照射装置!$H$3-紫外線照射装置!$I$3)/紫外線照射装置!$H$3),0)</f>
        <v>0</v>
      </c>
      <c r="R155" s="306">
        <f t="shared" si="47"/>
        <v>0</v>
      </c>
      <c r="S155" s="419">
        <f t="shared" si="48"/>
        <v>0</v>
      </c>
      <c r="T155" s="305">
        <f>IFERROR(SUMIF(超音波画像診断装置!$C$30:$C$74,B155,超音波画像診断装置!$K$30:$K$74)*((超音波画像診断装置!$H$3-超音波画像診断装置!$I$3)/超音波画像診断装置!$H$3),0)</f>
        <v>0</v>
      </c>
      <c r="U155" s="306">
        <f t="shared" si="49"/>
        <v>0</v>
      </c>
      <c r="V155" s="305">
        <f>IFERROR(SUMIF(血液浄化装置!$C$30:$C$74,B155,血液浄化装置!$K$30:$K$74)*((血液浄化装置!$H$3-血液浄化装置!$I$3)/血液浄化装置!$H$3),0)</f>
        <v>0</v>
      </c>
      <c r="W155" s="306">
        <f t="shared" si="50"/>
        <v>0</v>
      </c>
      <c r="X155" s="305">
        <f>IFERROR(SUMIF(気管支鏡!$C$30:$C$74,B155,気管支鏡!$K$30:$K$74)*((気管支鏡!$H$3-気管支鏡!$I$3)/気管支鏡!$H$3),0)</f>
        <v>0</v>
      </c>
      <c r="Y155" s="306">
        <f t="shared" si="36"/>
        <v>0</v>
      </c>
      <c r="Z155" s="305">
        <f>IFERROR(SUMIF(CT撮影装置!$C$30:$C$74,B155,CT撮影装置!$K$30:$K$74)*((CT撮影装置!$H$3-CT撮影装置!$I$3)/CT撮影装置!$H$3),0)</f>
        <v>0</v>
      </c>
      <c r="AA155" s="306">
        <f t="shared" si="51"/>
        <v>0</v>
      </c>
      <c r="AB155" s="305">
        <f>IFERROR(SUMIF(生体情報モニタ!$C$30:$C$74,B155,生体情報モニタ!$K$30:$K$74)*((生体情報モニタ!$H$3-生体情報モニタ!$I$3)/生体情報モニタ!$H$3),0)</f>
        <v>0</v>
      </c>
      <c r="AC155" s="306">
        <f t="shared" si="37"/>
        <v>0</v>
      </c>
      <c r="AD155" s="305">
        <f>IFERROR(SUMIF(分娩監視装置!$C$30:$C$74,B155,分娩監視装置!$K$30:$K$74)*((分娩監視装置!$H$3-分娩監視装置!$I$3)/分娩監視装置!$H$3),0)</f>
        <v>0</v>
      </c>
      <c r="AE155" s="306">
        <f t="shared" si="52"/>
        <v>0</v>
      </c>
      <c r="AF155" s="305">
        <f>IFERROR(SUMIF(新生児モニタ!$C$30:$C$74,B155,新生児モニタ!$K$30:$K$74)*((新生児モニタ!$H$3-新生児モニタ!$I$3)/新生児モニタ!$H$3),0)</f>
        <v>0</v>
      </c>
      <c r="AG155" s="306">
        <f t="shared" si="53"/>
        <v>0</v>
      </c>
    </row>
    <row r="156" spans="2:33">
      <c r="B156" s="283" t="s">
        <v>969</v>
      </c>
      <c r="C156" s="305">
        <f>IFERROR(SUMIF(初度設備!$C$30:$C$74,B156,初度設備!$K$30:$K$74)*((初度設備!$H$3-初度設備!$I$3)/初度設備!$H$3),0)</f>
        <v>0</v>
      </c>
      <c r="D156" s="306">
        <f t="shared" si="38"/>
        <v>0</v>
      </c>
      <c r="E156" s="305">
        <f>IFERROR(SUMIF(人工呼吸器!$C$30:$C$74,B156,人工呼吸器!$K$30:$K$74)*((人工呼吸器!$H$3-人工呼吸器!$I$3)/人工呼吸器!$H$3),0)</f>
        <v>0</v>
      </c>
      <c r="F156" s="306">
        <f t="shared" si="39"/>
        <v>0</v>
      </c>
      <c r="G156" s="306">
        <f t="shared" si="40"/>
        <v>0</v>
      </c>
      <c r="H156" s="306">
        <f t="shared" si="41"/>
        <v>0</v>
      </c>
      <c r="I156" s="305">
        <f>IFERROR(SUMIF(簡易陰圧装置!$C$30:$C$74,B156,簡易陰圧装置!$K$30:$K$74)*((簡易陰圧装置!$H$3-簡易陰圧装置!$I$3)/簡易陰圧装置!$H$3),0)</f>
        <v>0</v>
      </c>
      <c r="J156" s="306">
        <f t="shared" si="42"/>
        <v>0</v>
      </c>
      <c r="K156" s="305">
        <f>IFERROR(SUMIF(簡易ベッド!$C$30:$C$74,B156,簡易ベッド!$K$30:$K$74)*((簡易ベッド!$H$3-簡易ベッド!$I$3)/簡易ベッド!$H$3),0)</f>
        <v>0</v>
      </c>
      <c r="L156" s="306">
        <f t="shared" si="43"/>
        <v>0</v>
      </c>
      <c r="M156" s="305">
        <f>IFERROR(SUMIF(体外式膜型人工肺!$C$30:$C$74,B156,体外式膜型人工肺!$K$30:$K$74)*((体外式膜型人工肺!$H$3-体外式膜型人工肺!$I$3)/体外式膜型人工肺!$H$3),0)</f>
        <v>0</v>
      </c>
      <c r="N156" s="306">
        <f t="shared" si="44"/>
        <v>0</v>
      </c>
      <c r="O156" s="306">
        <f t="shared" si="45"/>
        <v>0</v>
      </c>
      <c r="P156" s="306">
        <f t="shared" si="46"/>
        <v>0</v>
      </c>
      <c r="Q156" s="305">
        <f>IFERROR(SUMIF(紫外線照射装置!$C$30:$C$74,B156,紫外線照射装置!$K$30:$K$74)*((紫外線照射装置!$H$3-紫外線照射装置!$I$3)/紫外線照射装置!$H$3),0)</f>
        <v>0</v>
      </c>
      <c r="R156" s="306">
        <f t="shared" si="47"/>
        <v>0</v>
      </c>
      <c r="S156" s="419">
        <f t="shared" si="48"/>
        <v>0</v>
      </c>
      <c r="T156" s="305">
        <f>IFERROR(SUMIF(超音波画像診断装置!$C$30:$C$74,B156,超音波画像診断装置!$K$30:$K$74)*((超音波画像診断装置!$H$3-超音波画像診断装置!$I$3)/超音波画像診断装置!$H$3),0)</f>
        <v>0</v>
      </c>
      <c r="U156" s="306">
        <f t="shared" si="49"/>
        <v>0</v>
      </c>
      <c r="V156" s="305">
        <f>IFERROR(SUMIF(血液浄化装置!$C$30:$C$74,B156,血液浄化装置!$K$30:$K$74)*((血液浄化装置!$H$3-血液浄化装置!$I$3)/血液浄化装置!$H$3),0)</f>
        <v>0</v>
      </c>
      <c r="W156" s="306">
        <f t="shared" si="50"/>
        <v>0</v>
      </c>
      <c r="X156" s="305">
        <f>IFERROR(SUMIF(気管支鏡!$C$30:$C$74,B156,気管支鏡!$K$30:$K$74)*((気管支鏡!$H$3-気管支鏡!$I$3)/気管支鏡!$H$3),0)</f>
        <v>0</v>
      </c>
      <c r="Y156" s="306">
        <f t="shared" si="36"/>
        <v>0</v>
      </c>
      <c r="Z156" s="305">
        <f>IFERROR(SUMIF(CT撮影装置!$C$30:$C$74,B156,CT撮影装置!$K$30:$K$74)*((CT撮影装置!$H$3-CT撮影装置!$I$3)/CT撮影装置!$H$3),0)</f>
        <v>0</v>
      </c>
      <c r="AA156" s="306">
        <f t="shared" si="51"/>
        <v>0</v>
      </c>
      <c r="AB156" s="305">
        <f>IFERROR(SUMIF(生体情報モニタ!$C$30:$C$74,B156,生体情報モニタ!$K$30:$K$74)*((生体情報モニタ!$H$3-生体情報モニタ!$I$3)/生体情報モニタ!$H$3),0)</f>
        <v>0</v>
      </c>
      <c r="AC156" s="306">
        <f t="shared" si="37"/>
        <v>0</v>
      </c>
      <c r="AD156" s="305">
        <f>IFERROR(SUMIF(分娩監視装置!$C$30:$C$74,B156,分娩監視装置!$K$30:$K$74)*((分娩監視装置!$H$3-分娩監視装置!$I$3)/分娩監視装置!$H$3),0)</f>
        <v>0</v>
      </c>
      <c r="AE156" s="306">
        <f t="shared" si="52"/>
        <v>0</v>
      </c>
      <c r="AF156" s="305">
        <f>IFERROR(SUMIF(新生児モニタ!$C$30:$C$74,B156,新生児モニタ!$K$30:$K$74)*((新生児モニタ!$H$3-新生児モニタ!$I$3)/新生児モニタ!$H$3),0)</f>
        <v>0</v>
      </c>
      <c r="AG156" s="306">
        <f t="shared" si="53"/>
        <v>0</v>
      </c>
    </row>
    <row r="157" spans="2:33">
      <c r="B157" s="283" t="s">
        <v>970</v>
      </c>
      <c r="C157" s="305">
        <f>IFERROR(SUMIF(初度設備!$C$30:$C$74,B157,初度設備!$K$30:$K$74)*((初度設備!$H$3-初度設備!$I$3)/初度設備!$H$3),0)</f>
        <v>0</v>
      </c>
      <c r="D157" s="306">
        <f t="shared" si="38"/>
        <v>0</v>
      </c>
      <c r="E157" s="305">
        <f>IFERROR(SUMIF(人工呼吸器!$C$30:$C$74,B157,人工呼吸器!$K$30:$K$74)*((人工呼吸器!$H$3-人工呼吸器!$I$3)/人工呼吸器!$H$3),0)</f>
        <v>0</v>
      </c>
      <c r="F157" s="306">
        <f t="shared" si="39"/>
        <v>0</v>
      </c>
      <c r="G157" s="306">
        <f t="shared" si="40"/>
        <v>0</v>
      </c>
      <c r="H157" s="306">
        <f t="shared" si="41"/>
        <v>0</v>
      </c>
      <c r="I157" s="305">
        <f>IFERROR(SUMIF(簡易陰圧装置!$C$30:$C$74,B157,簡易陰圧装置!$K$30:$K$74)*((簡易陰圧装置!$H$3-簡易陰圧装置!$I$3)/簡易陰圧装置!$H$3),0)</f>
        <v>0</v>
      </c>
      <c r="J157" s="306">
        <f t="shared" si="42"/>
        <v>0</v>
      </c>
      <c r="K157" s="305">
        <f>IFERROR(SUMIF(簡易ベッド!$C$30:$C$74,B157,簡易ベッド!$K$30:$K$74)*((簡易ベッド!$H$3-簡易ベッド!$I$3)/簡易ベッド!$H$3),0)</f>
        <v>0</v>
      </c>
      <c r="L157" s="306">
        <f t="shared" si="43"/>
        <v>0</v>
      </c>
      <c r="M157" s="305">
        <f>IFERROR(SUMIF(体外式膜型人工肺!$C$30:$C$74,B157,体外式膜型人工肺!$K$30:$K$74)*((体外式膜型人工肺!$H$3-体外式膜型人工肺!$I$3)/体外式膜型人工肺!$H$3),0)</f>
        <v>0</v>
      </c>
      <c r="N157" s="306">
        <f t="shared" si="44"/>
        <v>0</v>
      </c>
      <c r="O157" s="306">
        <f t="shared" si="45"/>
        <v>0</v>
      </c>
      <c r="P157" s="306">
        <f t="shared" si="46"/>
        <v>0</v>
      </c>
      <c r="Q157" s="305">
        <f>IFERROR(SUMIF(紫外線照射装置!$C$30:$C$74,B157,紫外線照射装置!$K$30:$K$74)*((紫外線照射装置!$H$3-紫外線照射装置!$I$3)/紫外線照射装置!$H$3),0)</f>
        <v>0</v>
      </c>
      <c r="R157" s="306">
        <f t="shared" si="47"/>
        <v>0</v>
      </c>
      <c r="S157" s="419">
        <f t="shared" si="48"/>
        <v>0</v>
      </c>
      <c r="T157" s="305">
        <f>IFERROR(SUMIF(超音波画像診断装置!$C$30:$C$74,B157,超音波画像診断装置!$K$30:$K$74)*((超音波画像診断装置!$H$3-超音波画像診断装置!$I$3)/超音波画像診断装置!$H$3),0)</f>
        <v>0</v>
      </c>
      <c r="U157" s="306">
        <f t="shared" si="49"/>
        <v>0</v>
      </c>
      <c r="V157" s="305">
        <f>IFERROR(SUMIF(血液浄化装置!$C$30:$C$74,B157,血液浄化装置!$K$30:$K$74)*((血液浄化装置!$H$3-血液浄化装置!$I$3)/血液浄化装置!$H$3),0)</f>
        <v>0</v>
      </c>
      <c r="W157" s="306">
        <f t="shared" si="50"/>
        <v>0</v>
      </c>
      <c r="X157" s="305">
        <f>IFERROR(SUMIF(気管支鏡!$C$30:$C$74,B157,気管支鏡!$K$30:$K$74)*((気管支鏡!$H$3-気管支鏡!$I$3)/気管支鏡!$H$3),0)</f>
        <v>0</v>
      </c>
      <c r="Y157" s="306">
        <f t="shared" si="36"/>
        <v>0</v>
      </c>
      <c r="Z157" s="305">
        <f>IFERROR(SUMIF(CT撮影装置!$C$30:$C$74,B157,CT撮影装置!$K$30:$K$74)*((CT撮影装置!$H$3-CT撮影装置!$I$3)/CT撮影装置!$H$3),0)</f>
        <v>0</v>
      </c>
      <c r="AA157" s="306">
        <f t="shared" si="51"/>
        <v>0</v>
      </c>
      <c r="AB157" s="305">
        <f>IFERROR(SUMIF(生体情報モニタ!$C$30:$C$74,B157,生体情報モニタ!$K$30:$K$74)*((生体情報モニタ!$H$3-生体情報モニタ!$I$3)/生体情報モニタ!$H$3),0)</f>
        <v>0</v>
      </c>
      <c r="AC157" s="306">
        <f t="shared" si="37"/>
        <v>0</v>
      </c>
      <c r="AD157" s="305">
        <f>IFERROR(SUMIF(分娩監視装置!$C$30:$C$74,B157,分娩監視装置!$K$30:$K$74)*((分娩監視装置!$H$3-分娩監視装置!$I$3)/分娩監視装置!$H$3),0)</f>
        <v>0</v>
      </c>
      <c r="AE157" s="306">
        <f t="shared" si="52"/>
        <v>0</v>
      </c>
      <c r="AF157" s="305">
        <f>IFERROR(SUMIF(新生児モニタ!$C$30:$C$74,B157,新生児モニタ!$K$30:$K$74)*((新生児モニタ!$H$3-新生児モニタ!$I$3)/新生児モニタ!$H$3),0)</f>
        <v>0</v>
      </c>
      <c r="AG157" s="306">
        <f t="shared" si="53"/>
        <v>0</v>
      </c>
    </row>
    <row r="158" spans="2:33">
      <c r="B158" s="283" t="s">
        <v>971</v>
      </c>
      <c r="C158" s="305">
        <f>IFERROR(SUMIF(初度設備!$C$30:$C$74,B158,初度設備!$K$30:$K$74)*((初度設備!$H$3-初度設備!$I$3)/初度設備!$H$3),0)</f>
        <v>0</v>
      </c>
      <c r="D158" s="306">
        <f t="shared" si="38"/>
        <v>0</v>
      </c>
      <c r="E158" s="305">
        <f>IFERROR(SUMIF(人工呼吸器!$C$30:$C$74,B158,人工呼吸器!$K$30:$K$74)*((人工呼吸器!$H$3-人工呼吸器!$I$3)/人工呼吸器!$H$3),0)</f>
        <v>0</v>
      </c>
      <c r="F158" s="306">
        <f t="shared" si="39"/>
        <v>0</v>
      </c>
      <c r="G158" s="306">
        <f t="shared" si="40"/>
        <v>0</v>
      </c>
      <c r="H158" s="306">
        <f t="shared" si="41"/>
        <v>0</v>
      </c>
      <c r="I158" s="305">
        <f>IFERROR(SUMIF(簡易陰圧装置!$C$30:$C$74,B158,簡易陰圧装置!$K$30:$K$74)*((簡易陰圧装置!$H$3-簡易陰圧装置!$I$3)/簡易陰圧装置!$H$3),0)</f>
        <v>0</v>
      </c>
      <c r="J158" s="306">
        <f t="shared" si="42"/>
        <v>0</v>
      </c>
      <c r="K158" s="305">
        <f>IFERROR(SUMIF(簡易ベッド!$C$30:$C$74,B158,簡易ベッド!$K$30:$K$74)*((簡易ベッド!$H$3-簡易ベッド!$I$3)/簡易ベッド!$H$3),0)</f>
        <v>0</v>
      </c>
      <c r="L158" s="306">
        <f t="shared" si="43"/>
        <v>0</v>
      </c>
      <c r="M158" s="305">
        <f>IFERROR(SUMIF(体外式膜型人工肺!$C$30:$C$74,B158,体外式膜型人工肺!$K$30:$K$74)*((体外式膜型人工肺!$H$3-体外式膜型人工肺!$I$3)/体外式膜型人工肺!$H$3),0)</f>
        <v>0</v>
      </c>
      <c r="N158" s="306">
        <f t="shared" si="44"/>
        <v>0</v>
      </c>
      <c r="O158" s="306">
        <f t="shared" si="45"/>
        <v>0</v>
      </c>
      <c r="P158" s="306">
        <f t="shared" si="46"/>
        <v>0</v>
      </c>
      <c r="Q158" s="305">
        <f>IFERROR(SUMIF(紫外線照射装置!$C$30:$C$74,B158,紫外線照射装置!$K$30:$K$74)*((紫外線照射装置!$H$3-紫外線照射装置!$I$3)/紫外線照射装置!$H$3),0)</f>
        <v>0</v>
      </c>
      <c r="R158" s="306">
        <f t="shared" si="47"/>
        <v>0</v>
      </c>
      <c r="S158" s="419">
        <f t="shared" si="48"/>
        <v>0</v>
      </c>
      <c r="T158" s="305">
        <f>IFERROR(SUMIF(超音波画像診断装置!$C$30:$C$74,B158,超音波画像診断装置!$K$30:$K$74)*((超音波画像診断装置!$H$3-超音波画像診断装置!$I$3)/超音波画像診断装置!$H$3),0)</f>
        <v>0</v>
      </c>
      <c r="U158" s="306">
        <f t="shared" si="49"/>
        <v>0</v>
      </c>
      <c r="V158" s="305">
        <f>IFERROR(SUMIF(血液浄化装置!$C$30:$C$74,B158,血液浄化装置!$K$30:$K$74)*((血液浄化装置!$H$3-血液浄化装置!$I$3)/血液浄化装置!$H$3),0)</f>
        <v>0</v>
      </c>
      <c r="W158" s="306">
        <f t="shared" si="50"/>
        <v>0</v>
      </c>
      <c r="X158" s="305">
        <f>IFERROR(SUMIF(気管支鏡!$C$30:$C$74,B158,気管支鏡!$K$30:$K$74)*((気管支鏡!$H$3-気管支鏡!$I$3)/気管支鏡!$H$3),0)</f>
        <v>0</v>
      </c>
      <c r="Y158" s="306">
        <f t="shared" si="36"/>
        <v>0</v>
      </c>
      <c r="Z158" s="305">
        <f>IFERROR(SUMIF(CT撮影装置!$C$30:$C$74,B158,CT撮影装置!$K$30:$K$74)*((CT撮影装置!$H$3-CT撮影装置!$I$3)/CT撮影装置!$H$3),0)</f>
        <v>0</v>
      </c>
      <c r="AA158" s="306">
        <f t="shared" si="51"/>
        <v>0</v>
      </c>
      <c r="AB158" s="305">
        <f>IFERROR(SUMIF(生体情報モニタ!$C$30:$C$74,B158,生体情報モニタ!$K$30:$K$74)*((生体情報モニタ!$H$3-生体情報モニタ!$I$3)/生体情報モニタ!$H$3),0)</f>
        <v>0</v>
      </c>
      <c r="AC158" s="306">
        <f t="shared" si="37"/>
        <v>0</v>
      </c>
      <c r="AD158" s="305">
        <f>IFERROR(SUMIF(分娩監視装置!$C$30:$C$74,B158,分娩監視装置!$K$30:$K$74)*((分娩監視装置!$H$3-分娩監視装置!$I$3)/分娩監視装置!$H$3),0)</f>
        <v>0</v>
      </c>
      <c r="AE158" s="306">
        <f t="shared" si="52"/>
        <v>0</v>
      </c>
      <c r="AF158" s="305">
        <f>IFERROR(SUMIF(新生児モニタ!$C$30:$C$74,B158,新生児モニタ!$K$30:$K$74)*((新生児モニタ!$H$3-新生児モニタ!$I$3)/新生児モニタ!$H$3),0)</f>
        <v>0</v>
      </c>
      <c r="AG158" s="306">
        <f t="shared" si="53"/>
        <v>0</v>
      </c>
    </row>
    <row r="159" spans="2:33">
      <c r="B159" s="283" t="s">
        <v>972</v>
      </c>
      <c r="C159" s="305">
        <f>IFERROR(SUMIF(初度設備!$C$30:$C$74,B159,初度設備!$K$30:$K$74)*((初度設備!$H$3-初度設備!$I$3)/初度設備!$H$3),0)</f>
        <v>0</v>
      </c>
      <c r="D159" s="306">
        <f t="shared" si="38"/>
        <v>0</v>
      </c>
      <c r="E159" s="305">
        <f>IFERROR(SUMIF(人工呼吸器!$C$30:$C$74,B159,人工呼吸器!$K$30:$K$74)*((人工呼吸器!$H$3-人工呼吸器!$I$3)/人工呼吸器!$H$3),0)</f>
        <v>0</v>
      </c>
      <c r="F159" s="306">
        <f t="shared" si="39"/>
        <v>0</v>
      </c>
      <c r="G159" s="306">
        <f t="shared" si="40"/>
        <v>0</v>
      </c>
      <c r="H159" s="306">
        <f t="shared" si="41"/>
        <v>0</v>
      </c>
      <c r="I159" s="305">
        <f>IFERROR(SUMIF(簡易陰圧装置!$C$30:$C$74,B159,簡易陰圧装置!$K$30:$K$74)*((簡易陰圧装置!$H$3-簡易陰圧装置!$I$3)/簡易陰圧装置!$H$3),0)</f>
        <v>0</v>
      </c>
      <c r="J159" s="306">
        <f t="shared" si="42"/>
        <v>0</v>
      </c>
      <c r="K159" s="305">
        <f>IFERROR(SUMIF(簡易ベッド!$C$30:$C$74,B159,簡易ベッド!$K$30:$K$74)*((簡易ベッド!$H$3-簡易ベッド!$I$3)/簡易ベッド!$H$3),0)</f>
        <v>0</v>
      </c>
      <c r="L159" s="306">
        <f t="shared" si="43"/>
        <v>0</v>
      </c>
      <c r="M159" s="305">
        <f>IFERROR(SUMIF(体外式膜型人工肺!$C$30:$C$74,B159,体外式膜型人工肺!$K$30:$K$74)*((体外式膜型人工肺!$H$3-体外式膜型人工肺!$I$3)/体外式膜型人工肺!$H$3),0)</f>
        <v>0</v>
      </c>
      <c r="N159" s="306">
        <f t="shared" si="44"/>
        <v>0</v>
      </c>
      <c r="O159" s="306">
        <f t="shared" si="45"/>
        <v>0</v>
      </c>
      <c r="P159" s="306">
        <f t="shared" si="46"/>
        <v>0</v>
      </c>
      <c r="Q159" s="305">
        <f>IFERROR(SUMIF(紫外線照射装置!$C$30:$C$74,B159,紫外線照射装置!$K$30:$K$74)*((紫外線照射装置!$H$3-紫外線照射装置!$I$3)/紫外線照射装置!$H$3),0)</f>
        <v>0</v>
      </c>
      <c r="R159" s="306">
        <f t="shared" si="47"/>
        <v>0</v>
      </c>
      <c r="S159" s="419">
        <f t="shared" si="48"/>
        <v>0</v>
      </c>
      <c r="T159" s="305">
        <f>IFERROR(SUMIF(超音波画像診断装置!$C$30:$C$74,B159,超音波画像診断装置!$K$30:$K$74)*((超音波画像診断装置!$H$3-超音波画像診断装置!$I$3)/超音波画像診断装置!$H$3),0)</f>
        <v>0</v>
      </c>
      <c r="U159" s="306">
        <f t="shared" si="49"/>
        <v>0</v>
      </c>
      <c r="V159" s="305">
        <f>IFERROR(SUMIF(血液浄化装置!$C$30:$C$74,B159,血液浄化装置!$K$30:$K$74)*((血液浄化装置!$H$3-血液浄化装置!$I$3)/血液浄化装置!$H$3),0)</f>
        <v>0</v>
      </c>
      <c r="W159" s="306">
        <f t="shared" si="50"/>
        <v>0</v>
      </c>
      <c r="X159" s="305">
        <f>IFERROR(SUMIF(気管支鏡!$C$30:$C$74,B159,気管支鏡!$K$30:$K$74)*((気管支鏡!$H$3-気管支鏡!$I$3)/気管支鏡!$H$3),0)</f>
        <v>0</v>
      </c>
      <c r="Y159" s="306">
        <f t="shared" si="36"/>
        <v>0</v>
      </c>
      <c r="Z159" s="305">
        <f>IFERROR(SUMIF(CT撮影装置!$C$30:$C$74,B159,CT撮影装置!$K$30:$K$74)*((CT撮影装置!$H$3-CT撮影装置!$I$3)/CT撮影装置!$H$3),0)</f>
        <v>0</v>
      </c>
      <c r="AA159" s="306">
        <f t="shared" si="51"/>
        <v>0</v>
      </c>
      <c r="AB159" s="305">
        <f>IFERROR(SUMIF(生体情報モニタ!$C$30:$C$74,B159,生体情報モニタ!$K$30:$K$74)*((生体情報モニタ!$H$3-生体情報モニタ!$I$3)/生体情報モニタ!$H$3),0)</f>
        <v>0</v>
      </c>
      <c r="AC159" s="306">
        <f t="shared" si="37"/>
        <v>0</v>
      </c>
      <c r="AD159" s="305">
        <f>IFERROR(SUMIF(分娩監視装置!$C$30:$C$74,B159,分娩監視装置!$K$30:$K$74)*((分娩監視装置!$H$3-分娩監視装置!$I$3)/分娩監視装置!$H$3),0)</f>
        <v>0</v>
      </c>
      <c r="AE159" s="306">
        <f t="shared" si="52"/>
        <v>0</v>
      </c>
      <c r="AF159" s="305">
        <f>IFERROR(SUMIF(新生児モニタ!$C$30:$C$74,B159,新生児モニタ!$K$30:$K$74)*((新生児モニタ!$H$3-新生児モニタ!$I$3)/新生児モニタ!$H$3),0)</f>
        <v>0</v>
      </c>
      <c r="AG159" s="306">
        <f t="shared" si="53"/>
        <v>0</v>
      </c>
    </row>
    <row r="160" spans="2:33">
      <c r="B160" s="283" t="s">
        <v>973</v>
      </c>
      <c r="C160" s="305">
        <f>IFERROR(SUMIF(初度設備!$C$30:$C$74,B160,初度設備!$K$30:$K$74)*((初度設備!$H$3-初度設備!$I$3)/初度設備!$H$3),0)</f>
        <v>0</v>
      </c>
      <c r="D160" s="306">
        <f t="shared" si="38"/>
        <v>0</v>
      </c>
      <c r="E160" s="305">
        <f>IFERROR(SUMIF(人工呼吸器!$C$30:$C$74,B160,人工呼吸器!$K$30:$K$74)*((人工呼吸器!$H$3-人工呼吸器!$I$3)/人工呼吸器!$H$3),0)</f>
        <v>0</v>
      </c>
      <c r="F160" s="306">
        <f t="shared" si="39"/>
        <v>0</v>
      </c>
      <c r="G160" s="306">
        <f t="shared" si="40"/>
        <v>0</v>
      </c>
      <c r="H160" s="306">
        <f t="shared" si="41"/>
        <v>0</v>
      </c>
      <c r="I160" s="305">
        <f>IFERROR(SUMIF(簡易陰圧装置!$C$30:$C$74,B160,簡易陰圧装置!$K$30:$K$74)*((簡易陰圧装置!$H$3-簡易陰圧装置!$I$3)/簡易陰圧装置!$H$3),0)</f>
        <v>0</v>
      </c>
      <c r="J160" s="306">
        <f t="shared" si="42"/>
        <v>0</v>
      </c>
      <c r="K160" s="305">
        <f>IFERROR(SUMIF(簡易ベッド!$C$30:$C$74,B160,簡易ベッド!$K$30:$K$74)*((簡易ベッド!$H$3-簡易ベッド!$I$3)/簡易ベッド!$H$3),0)</f>
        <v>0</v>
      </c>
      <c r="L160" s="306">
        <f t="shared" si="43"/>
        <v>0</v>
      </c>
      <c r="M160" s="305">
        <f>IFERROR(SUMIF(体外式膜型人工肺!$C$30:$C$74,B160,体外式膜型人工肺!$K$30:$K$74)*((体外式膜型人工肺!$H$3-体外式膜型人工肺!$I$3)/体外式膜型人工肺!$H$3),0)</f>
        <v>0</v>
      </c>
      <c r="N160" s="306">
        <f t="shared" si="44"/>
        <v>0</v>
      </c>
      <c r="O160" s="306">
        <f t="shared" si="45"/>
        <v>0</v>
      </c>
      <c r="P160" s="306">
        <f t="shared" si="46"/>
        <v>0</v>
      </c>
      <c r="Q160" s="305">
        <f>IFERROR(SUMIF(紫外線照射装置!$C$30:$C$74,B160,紫外線照射装置!$K$30:$K$74)*((紫外線照射装置!$H$3-紫外線照射装置!$I$3)/紫外線照射装置!$H$3),0)</f>
        <v>0</v>
      </c>
      <c r="R160" s="306">
        <f t="shared" si="47"/>
        <v>0</v>
      </c>
      <c r="S160" s="419">
        <f t="shared" si="48"/>
        <v>0</v>
      </c>
      <c r="T160" s="305">
        <f>IFERROR(SUMIF(超音波画像診断装置!$C$30:$C$74,B160,超音波画像診断装置!$K$30:$K$74)*((超音波画像診断装置!$H$3-超音波画像診断装置!$I$3)/超音波画像診断装置!$H$3),0)</f>
        <v>0</v>
      </c>
      <c r="U160" s="306">
        <f t="shared" si="49"/>
        <v>0</v>
      </c>
      <c r="V160" s="305">
        <f>IFERROR(SUMIF(血液浄化装置!$C$30:$C$74,B160,血液浄化装置!$K$30:$K$74)*((血液浄化装置!$H$3-血液浄化装置!$I$3)/血液浄化装置!$H$3),0)</f>
        <v>0</v>
      </c>
      <c r="W160" s="306">
        <f t="shared" si="50"/>
        <v>0</v>
      </c>
      <c r="X160" s="305">
        <f>IFERROR(SUMIF(気管支鏡!$C$30:$C$74,B160,気管支鏡!$K$30:$K$74)*((気管支鏡!$H$3-気管支鏡!$I$3)/気管支鏡!$H$3),0)</f>
        <v>0</v>
      </c>
      <c r="Y160" s="306">
        <f t="shared" si="36"/>
        <v>0</v>
      </c>
      <c r="Z160" s="305">
        <f>IFERROR(SUMIF(CT撮影装置!$C$30:$C$74,B160,CT撮影装置!$K$30:$K$74)*((CT撮影装置!$H$3-CT撮影装置!$I$3)/CT撮影装置!$H$3),0)</f>
        <v>0</v>
      </c>
      <c r="AA160" s="306">
        <f t="shared" si="51"/>
        <v>0</v>
      </c>
      <c r="AB160" s="305">
        <f>IFERROR(SUMIF(生体情報モニタ!$C$30:$C$74,B160,生体情報モニタ!$K$30:$K$74)*((生体情報モニタ!$H$3-生体情報モニタ!$I$3)/生体情報モニタ!$H$3),0)</f>
        <v>0</v>
      </c>
      <c r="AC160" s="306">
        <f t="shared" si="37"/>
        <v>0</v>
      </c>
      <c r="AD160" s="305">
        <f>IFERROR(SUMIF(分娩監視装置!$C$30:$C$74,B160,分娩監視装置!$K$30:$K$74)*((分娩監視装置!$H$3-分娩監視装置!$I$3)/分娩監視装置!$H$3),0)</f>
        <v>0</v>
      </c>
      <c r="AE160" s="306">
        <f t="shared" si="52"/>
        <v>0</v>
      </c>
      <c r="AF160" s="305">
        <f>IFERROR(SUMIF(新生児モニタ!$C$30:$C$74,B160,新生児モニタ!$K$30:$K$74)*((新生児モニタ!$H$3-新生児モニタ!$I$3)/新生児モニタ!$H$3),0)</f>
        <v>0</v>
      </c>
      <c r="AG160" s="306">
        <f t="shared" si="53"/>
        <v>0</v>
      </c>
    </row>
    <row r="161" spans="2:33">
      <c r="B161" s="283" t="s">
        <v>974</v>
      </c>
      <c r="C161" s="305">
        <f>IFERROR(SUMIF(初度設備!$C$30:$C$74,B161,初度設備!$K$30:$K$74)*((初度設備!$H$3-初度設備!$I$3)/初度設備!$H$3),0)</f>
        <v>0</v>
      </c>
      <c r="D161" s="306">
        <f t="shared" si="38"/>
        <v>0</v>
      </c>
      <c r="E161" s="305">
        <f>IFERROR(SUMIF(人工呼吸器!$C$30:$C$74,B161,人工呼吸器!$K$30:$K$74)*((人工呼吸器!$H$3-人工呼吸器!$I$3)/人工呼吸器!$H$3),0)</f>
        <v>0</v>
      </c>
      <c r="F161" s="306">
        <f t="shared" si="39"/>
        <v>0</v>
      </c>
      <c r="G161" s="306">
        <f t="shared" si="40"/>
        <v>0</v>
      </c>
      <c r="H161" s="306">
        <f t="shared" si="41"/>
        <v>0</v>
      </c>
      <c r="I161" s="305">
        <f>IFERROR(SUMIF(簡易陰圧装置!$C$30:$C$74,B161,簡易陰圧装置!$K$30:$K$74)*((簡易陰圧装置!$H$3-簡易陰圧装置!$I$3)/簡易陰圧装置!$H$3),0)</f>
        <v>0</v>
      </c>
      <c r="J161" s="306">
        <f t="shared" si="42"/>
        <v>0</v>
      </c>
      <c r="K161" s="305">
        <f>IFERROR(SUMIF(簡易ベッド!$C$30:$C$74,B161,簡易ベッド!$K$30:$K$74)*((簡易ベッド!$H$3-簡易ベッド!$I$3)/簡易ベッド!$H$3),0)</f>
        <v>0</v>
      </c>
      <c r="L161" s="306">
        <f t="shared" si="43"/>
        <v>0</v>
      </c>
      <c r="M161" s="305">
        <f>IFERROR(SUMIF(体外式膜型人工肺!$C$30:$C$74,B161,体外式膜型人工肺!$K$30:$K$74)*((体外式膜型人工肺!$H$3-体外式膜型人工肺!$I$3)/体外式膜型人工肺!$H$3),0)</f>
        <v>0</v>
      </c>
      <c r="N161" s="306">
        <f t="shared" si="44"/>
        <v>0</v>
      </c>
      <c r="O161" s="306">
        <f t="shared" si="45"/>
        <v>0</v>
      </c>
      <c r="P161" s="306">
        <f t="shared" si="46"/>
        <v>0</v>
      </c>
      <c r="Q161" s="305">
        <f>IFERROR(SUMIF(紫外線照射装置!$C$30:$C$74,B161,紫外線照射装置!$K$30:$K$74)*((紫外線照射装置!$H$3-紫外線照射装置!$I$3)/紫外線照射装置!$H$3),0)</f>
        <v>0</v>
      </c>
      <c r="R161" s="306">
        <f t="shared" si="47"/>
        <v>0</v>
      </c>
      <c r="S161" s="419">
        <f t="shared" si="48"/>
        <v>0</v>
      </c>
      <c r="T161" s="305">
        <f>IFERROR(SUMIF(超音波画像診断装置!$C$30:$C$74,B161,超音波画像診断装置!$K$30:$K$74)*((超音波画像診断装置!$H$3-超音波画像診断装置!$I$3)/超音波画像診断装置!$H$3),0)</f>
        <v>0</v>
      </c>
      <c r="U161" s="306">
        <f t="shared" si="49"/>
        <v>0</v>
      </c>
      <c r="V161" s="305">
        <f>IFERROR(SUMIF(血液浄化装置!$C$30:$C$74,B161,血液浄化装置!$K$30:$K$74)*((血液浄化装置!$H$3-血液浄化装置!$I$3)/血液浄化装置!$H$3),0)</f>
        <v>0</v>
      </c>
      <c r="W161" s="306">
        <f t="shared" si="50"/>
        <v>0</v>
      </c>
      <c r="X161" s="305">
        <f>IFERROR(SUMIF(気管支鏡!$C$30:$C$74,B161,気管支鏡!$K$30:$K$74)*((気管支鏡!$H$3-気管支鏡!$I$3)/気管支鏡!$H$3),0)</f>
        <v>0</v>
      </c>
      <c r="Y161" s="306">
        <f t="shared" si="36"/>
        <v>0</v>
      </c>
      <c r="Z161" s="305">
        <f>IFERROR(SUMIF(CT撮影装置!$C$30:$C$74,B161,CT撮影装置!$K$30:$K$74)*((CT撮影装置!$H$3-CT撮影装置!$I$3)/CT撮影装置!$H$3),0)</f>
        <v>0</v>
      </c>
      <c r="AA161" s="306">
        <f t="shared" si="51"/>
        <v>0</v>
      </c>
      <c r="AB161" s="305">
        <f>IFERROR(SUMIF(生体情報モニタ!$C$30:$C$74,B161,生体情報モニタ!$K$30:$K$74)*((生体情報モニタ!$H$3-生体情報モニタ!$I$3)/生体情報モニタ!$H$3),0)</f>
        <v>0</v>
      </c>
      <c r="AC161" s="306">
        <f t="shared" si="37"/>
        <v>0</v>
      </c>
      <c r="AD161" s="305">
        <f>IFERROR(SUMIF(分娩監視装置!$C$30:$C$74,B161,分娩監視装置!$K$30:$K$74)*((分娩監視装置!$H$3-分娩監視装置!$I$3)/分娩監視装置!$H$3),0)</f>
        <v>0</v>
      </c>
      <c r="AE161" s="306">
        <f t="shared" si="52"/>
        <v>0</v>
      </c>
      <c r="AF161" s="305">
        <f>IFERROR(SUMIF(新生児モニタ!$C$30:$C$74,B161,新生児モニタ!$K$30:$K$74)*((新生児モニタ!$H$3-新生児モニタ!$I$3)/新生児モニタ!$H$3),0)</f>
        <v>0</v>
      </c>
      <c r="AG161" s="306">
        <f t="shared" si="53"/>
        <v>0</v>
      </c>
    </row>
    <row r="162" spans="2:33">
      <c r="B162" s="283" t="s">
        <v>975</v>
      </c>
      <c r="C162" s="305">
        <f>IFERROR(SUMIF(初度設備!$C$30:$C$74,B162,初度設備!$K$30:$K$74)*((初度設備!$H$3-初度設備!$I$3)/初度設備!$H$3),0)</f>
        <v>0</v>
      </c>
      <c r="D162" s="306">
        <f t="shared" si="38"/>
        <v>0</v>
      </c>
      <c r="E162" s="305">
        <f>IFERROR(SUMIF(人工呼吸器!$C$30:$C$74,B162,人工呼吸器!$K$30:$K$74)*((人工呼吸器!$H$3-人工呼吸器!$I$3)/人工呼吸器!$H$3),0)</f>
        <v>0</v>
      </c>
      <c r="F162" s="306">
        <f t="shared" si="39"/>
        <v>0</v>
      </c>
      <c r="G162" s="306">
        <f t="shared" si="40"/>
        <v>0</v>
      </c>
      <c r="H162" s="306">
        <f t="shared" si="41"/>
        <v>0</v>
      </c>
      <c r="I162" s="305">
        <f>IFERROR(SUMIF(簡易陰圧装置!$C$30:$C$74,B162,簡易陰圧装置!$K$30:$K$74)*((簡易陰圧装置!$H$3-簡易陰圧装置!$I$3)/簡易陰圧装置!$H$3),0)</f>
        <v>0</v>
      </c>
      <c r="J162" s="306">
        <f t="shared" si="42"/>
        <v>0</v>
      </c>
      <c r="K162" s="305">
        <f>IFERROR(SUMIF(簡易ベッド!$C$30:$C$74,B162,簡易ベッド!$K$30:$K$74)*((簡易ベッド!$H$3-簡易ベッド!$I$3)/簡易ベッド!$H$3),0)</f>
        <v>0</v>
      </c>
      <c r="L162" s="306">
        <f t="shared" si="43"/>
        <v>0</v>
      </c>
      <c r="M162" s="305">
        <f>IFERROR(SUMIF(体外式膜型人工肺!$C$30:$C$74,B162,体外式膜型人工肺!$K$30:$K$74)*((体外式膜型人工肺!$H$3-体外式膜型人工肺!$I$3)/体外式膜型人工肺!$H$3),0)</f>
        <v>0</v>
      </c>
      <c r="N162" s="306">
        <f t="shared" si="44"/>
        <v>0</v>
      </c>
      <c r="O162" s="306">
        <f t="shared" si="45"/>
        <v>0</v>
      </c>
      <c r="P162" s="306">
        <f t="shared" si="46"/>
        <v>0</v>
      </c>
      <c r="Q162" s="305">
        <f>IFERROR(SUMIF(紫外線照射装置!$C$30:$C$74,B162,紫外線照射装置!$K$30:$K$74)*((紫外線照射装置!$H$3-紫外線照射装置!$I$3)/紫外線照射装置!$H$3),0)</f>
        <v>0</v>
      </c>
      <c r="R162" s="306">
        <f t="shared" si="47"/>
        <v>0</v>
      </c>
      <c r="S162" s="419">
        <f t="shared" si="48"/>
        <v>0</v>
      </c>
      <c r="T162" s="305">
        <f>IFERROR(SUMIF(超音波画像診断装置!$C$30:$C$74,B162,超音波画像診断装置!$K$30:$K$74)*((超音波画像診断装置!$H$3-超音波画像診断装置!$I$3)/超音波画像診断装置!$H$3),0)</f>
        <v>0</v>
      </c>
      <c r="U162" s="306">
        <f t="shared" si="49"/>
        <v>0</v>
      </c>
      <c r="V162" s="305">
        <f>IFERROR(SUMIF(血液浄化装置!$C$30:$C$74,B162,血液浄化装置!$K$30:$K$74)*((血液浄化装置!$H$3-血液浄化装置!$I$3)/血液浄化装置!$H$3),0)</f>
        <v>0</v>
      </c>
      <c r="W162" s="306">
        <f t="shared" si="50"/>
        <v>0</v>
      </c>
      <c r="X162" s="305">
        <f>IFERROR(SUMIF(気管支鏡!$C$30:$C$74,B162,気管支鏡!$K$30:$K$74)*((気管支鏡!$H$3-気管支鏡!$I$3)/気管支鏡!$H$3),0)</f>
        <v>0</v>
      </c>
      <c r="Y162" s="306">
        <f t="shared" si="36"/>
        <v>0</v>
      </c>
      <c r="Z162" s="305">
        <f>IFERROR(SUMIF(CT撮影装置!$C$30:$C$74,B162,CT撮影装置!$K$30:$K$74)*((CT撮影装置!$H$3-CT撮影装置!$I$3)/CT撮影装置!$H$3),0)</f>
        <v>0</v>
      </c>
      <c r="AA162" s="306">
        <f t="shared" si="51"/>
        <v>0</v>
      </c>
      <c r="AB162" s="305">
        <f>IFERROR(SUMIF(生体情報モニタ!$C$30:$C$74,B162,生体情報モニタ!$K$30:$K$74)*((生体情報モニタ!$H$3-生体情報モニタ!$I$3)/生体情報モニタ!$H$3),0)</f>
        <v>0</v>
      </c>
      <c r="AC162" s="306">
        <f t="shared" si="37"/>
        <v>0</v>
      </c>
      <c r="AD162" s="305">
        <f>IFERROR(SUMIF(分娩監視装置!$C$30:$C$74,B162,分娩監視装置!$K$30:$K$74)*((分娩監視装置!$H$3-分娩監視装置!$I$3)/分娩監視装置!$H$3),0)</f>
        <v>0</v>
      </c>
      <c r="AE162" s="306">
        <f t="shared" si="52"/>
        <v>0</v>
      </c>
      <c r="AF162" s="305">
        <f>IFERROR(SUMIF(新生児モニタ!$C$30:$C$74,B162,新生児モニタ!$K$30:$K$74)*((新生児モニタ!$H$3-新生児モニタ!$I$3)/新生児モニタ!$H$3),0)</f>
        <v>0</v>
      </c>
      <c r="AG162" s="306">
        <f t="shared" si="53"/>
        <v>0</v>
      </c>
    </row>
    <row r="163" spans="2:33">
      <c r="B163" s="283" t="s">
        <v>976</v>
      </c>
      <c r="C163" s="305">
        <f>IFERROR(SUMIF(初度設備!$C$30:$C$74,B163,初度設備!$K$30:$K$74)*((初度設備!$H$3-初度設備!$I$3)/初度設備!$H$3),0)</f>
        <v>0</v>
      </c>
      <c r="D163" s="306">
        <f t="shared" si="38"/>
        <v>0</v>
      </c>
      <c r="E163" s="305">
        <f>IFERROR(SUMIF(人工呼吸器!$C$30:$C$74,B163,人工呼吸器!$K$30:$K$74)*((人工呼吸器!$H$3-人工呼吸器!$I$3)/人工呼吸器!$H$3),0)</f>
        <v>0</v>
      </c>
      <c r="F163" s="306">
        <f t="shared" si="39"/>
        <v>0</v>
      </c>
      <c r="G163" s="306">
        <f t="shared" si="40"/>
        <v>0</v>
      </c>
      <c r="H163" s="306">
        <f t="shared" si="41"/>
        <v>0</v>
      </c>
      <c r="I163" s="305">
        <f>IFERROR(SUMIF(簡易陰圧装置!$C$30:$C$74,B163,簡易陰圧装置!$K$30:$K$74)*((簡易陰圧装置!$H$3-簡易陰圧装置!$I$3)/簡易陰圧装置!$H$3),0)</f>
        <v>0</v>
      </c>
      <c r="J163" s="306">
        <f t="shared" si="42"/>
        <v>0</v>
      </c>
      <c r="K163" s="305">
        <f>IFERROR(SUMIF(簡易ベッド!$C$30:$C$74,B163,簡易ベッド!$K$30:$K$74)*((簡易ベッド!$H$3-簡易ベッド!$I$3)/簡易ベッド!$H$3),0)</f>
        <v>0</v>
      </c>
      <c r="L163" s="306">
        <f t="shared" si="43"/>
        <v>0</v>
      </c>
      <c r="M163" s="305">
        <f>IFERROR(SUMIF(体外式膜型人工肺!$C$30:$C$74,B163,体外式膜型人工肺!$K$30:$K$74)*((体外式膜型人工肺!$H$3-体外式膜型人工肺!$I$3)/体外式膜型人工肺!$H$3),0)</f>
        <v>0</v>
      </c>
      <c r="N163" s="306">
        <f t="shared" si="44"/>
        <v>0</v>
      </c>
      <c r="O163" s="306">
        <f t="shared" si="45"/>
        <v>0</v>
      </c>
      <c r="P163" s="306">
        <f t="shared" si="46"/>
        <v>0</v>
      </c>
      <c r="Q163" s="305">
        <f>IFERROR(SUMIF(紫外線照射装置!$C$30:$C$74,B163,紫外線照射装置!$K$30:$K$74)*((紫外線照射装置!$H$3-紫外線照射装置!$I$3)/紫外線照射装置!$H$3),0)</f>
        <v>0</v>
      </c>
      <c r="R163" s="306">
        <f t="shared" si="47"/>
        <v>0</v>
      </c>
      <c r="S163" s="419">
        <f t="shared" si="48"/>
        <v>0</v>
      </c>
      <c r="T163" s="305">
        <f>IFERROR(SUMIF(超音波画像診断装置!$C$30:$C$74,B163,超音波画像診断装置!$K$30:$K$74)*((超音波画像診断装置!$H$3-超音波画像診断装置!$I$3)/超音波画像診断装置!$H$3),0)</f>
        <v>0</v>
      </c>
      <c r="U163" s="306">
        <f t="shared" si="49"/>
        <v>0</v>
      </c>
      <c r="V163" s="305">
        <f>IFERROR(SUMIF(血液浄化装置!$C$30:$C$74,B163,血液浄化装置!$K$30:$K$74)*((血液浄化装置!$H$3-血液浄化装置!$I$3)/血液浄化装置!$H$3),0)</f>
        <v>0</v>
      </c>
      <c r="W163" s="306">
        <f t="shared" si="50"/>
        <v>0</v>
      </c>
      <c r="X163" s="305">
        <f>IFERROR(SUMIF(気管支鏡!$C$30:$C$74,B163,気管支鏡!$K$30:$K$74)*((気管支鏡!$H$3-気管支鏡!$I$3)/気管支鏡!$H$3),0)</f>
        <v>0</v>
      </c>
      <c r="Y163" s="306">
        <f t="shared" si="36"/>
        <v>0</v>
      </c>
      <c r="Z163" s="305">
        <f>IFERROR(SUMIF(CT撮影装置!$C$30:$C$74,B163,CT撮影装置!$K$30:$K$74)*((CT撮影装置!$H$3-CT撮影装置!$I$3)/CT撮影装置!$H$3),0)</f>
        <v>0</v>
      </c>
      <c r="AA163" s="306">
        <f t="shared" si="51"/>
        <v>0</v>
      </c>
      <c r="AB163" s="305">
        <f>IFERROR(SUMIF(生体情報モニタ!$C$30:$C$74,B163,生体情報モニタ!$K$30:$K$74)*((生体情報モニタ!$H$3-生体情報モニタ!$I$3)/生体情報モニタ!$H$3),0)</f>
        <v>0</v>
      </c>
      <c r="AC163" s="306">
        <f t="shared" si="37"/>
        <v>0</v>
      </c>
      <c r="AD163" s="305">
        <f>IFERROR(SUMIF(分娩監視装置!$C$30:$C$74,B163,分娩監視装置!$K$30:$K$74)*((分娩監視装置!$H$3-分娩監視装置!$I$3)/分娩監視装置!$H$3),0)</f>
        <v>0</v>
      </c>
      <c r="AE163" s="306">
        <f t="shared" si="52"/>
        <v>0</v>
      </c>
      <c r="AF163" s="305">
        <f>IFERROR(SUMIF(新生児モニタ!$C$30:$C$74,B163,新生児モニタ!$K$30:$K$74)*((新生児モニタ!$H$3-新生児モニタ!$I$3)/新生児モニタ!$H$3),0)</f>
        <v>0</v>
      </c>
      <c r="AG163" s="306">
        <f t="shared" si="53"/>
        <v>0</v>
      </c>
    </row>
    <row r="164" spans="2:33">
      <c r="B164" s="283" t="s">
        <v>977</v>
      </c>
      <c r="C164" s="305">
        <f>IFERROR(SUMIF(初度設備!$C$30:$C$74,B164,初度設備!$K$30:$K$74)*((初度設備!$H$3-初度設備!$I$3)/初度設備!$H$3),0)</f>
        <v>0</v>
      </c>
      <c r="D164" s="306">
        <f t="shared" si="38"/>
        <v>0</v>
      </c>
      <c r="E164" s="305">
        <f>IFERROR(SUMIF(人工呼吸器!$C$30:$C$74,B164,人工呼吸器!$K$30:$K$74)*((人工呼吸器!$H$3-人工呼吸器!$I$3)/人工呼吸器!$H$3),0)</f>
        <v>0</v>
      </c>
      <c r="F164" s="306">
        <f t="shared" si="39"/>
        <v>0</v>
      </c>
      <c r="G164" s="306">
        <f t="shared" si="40"/>
        <v>0</v>
      </c>
      <c r="H164" s="306">
        <f t="shared" si="41"/>
        <v>0</v>
      </c>
      <c r="I164" s="305">
        <f>IFERROR(SUMIF(簡易陰圧装置!$C$30:$C$74,B164,簡易陰圧装置!$K$30:$K$74)*((簡易陰圧装置!$H$3-簡易陰圧装置!$I$3)/簡易陰圧装置!$H$3),0)</f>
        <v>0</v>
      </c>
      <c r="J164" s="306">
        <f t="shared" si="42"/>
        <v>0</v>
      </c>
      <c r="K164" s="305">
        <f>IFERROR(SUMIF(簡易ベッド!$C$30:$C$74,B164,簡易ベッド!$K$30:$K$74)*((簡易ベッド!$H$3-簡易ベッド!$I$3)/簡易ベッド!$H$3),0)</f>
        <v>0</v>
      </c>
      <c r="L164" s="306">
        <f t="shared" si="43"/>
        <v>0</v>
      </c>
      <c r="M164" s="305">
        <f>IFERROR(SUMIF(体外式膜型人工肺!$C$30:$C$74,B164,体外式膜型人工肺!$K$30:$K$74)*((体外式膜型人工肺!$H$3-体外式膜型人工肺!$I$3)/体外式膜型人工肺!$H$3),0)</f>
        <v>0</v>
      </c>
      <c r="N164" s="306">
        <f t="shared" si="44"/>
        <v>0</v>
      </c>
      <c r="O164" s="306">
        <f t="shared" si="45"/>
        <v>0</v>
      </c>
      <c r="P164" s="306">
        <f t="shared" si="46"/>
        <v>0</v>
      </c>
      <c r="Q164" s="305">
        <f>IFERROR(SUMIF(紫外線照射装置!$C$30:$C$74,B164,紫外線照射装置!$K$30:$K$74)*((紫外線照射装置!$H$3-紫外線照射装置!$I$3)/紫外線照射装置!$H$3),0)</f>
        <v>0</v>
      </c>
      <c r="R164" s="306">
        <f t="shared" si="47"/>
        <v>0</v>
      </c>
      <c r="S164" s="419">
        <f t="shared" si="48"/>
        <v>0</v>
      </c>
      <c r="T164" s="305">
        <f>IFERROR(SUMIF(超音波画像診断装置!$C$30:$C$74,B164,超音波画像診断装置!$K$30:$K$74)*((超音波画像診断装置!$H$3-超音波画像診断装置!$I$3)/超音波画像診断装置!$H$3),0)</f>
        <v>0</v>
      </c>
      <c r="U164" s="306">
        <f t="shared" si="49"/>
        <v>0</v>
      </c>
      <c r="V164" s="305">
        <f>IFERROR(SUMIF(血液浄化装置!$C$30:$C$74,B164,血液浄化装置!$K$30:$K$74)*((血液浄化装置!$H$3-血液浄化装置!$I$3)/血液浄化装置!$H$3),0)</f>
        <v>0</v>
      </c>
      <c r="W164" s="306">
        <f t="shared" si="50"/>
        <v>0</v>
      </c>
      <c r="X164" s="305">
        <f>IFERROR(SUMIF(気管支鏡!$C$30:$C$74,B164,気管支鏡!$K$30:$K$74)*((気管支鏡!$H$3-気管支鏡!$I$3)/気管支鏡!$H$3),0)</f>
        <v>0</v>
      </c>
      <c r="Y164" s="306">
        <f t="shared" si="36"/>
        <v>0</v>
      </c>
      <c r="Z164" s="305">
        <f>IFERROR(SUMIF(CT撮影装置!$C$30:$C$74,B164,CT撮影装置!$K$30:$K$74)*((CT撮影装置!$H$3-CT撮影装置!$I$3)/CT撮影装置!$H$3),0)</f>
        <v>0</v>
      </c>
      <c r="AA164" s="306">
        <f t="shared" si="51"/>
        <v>0</v>
      </c>
      <c r="AB164" s="305">
        <f>IFERROR(SUMIF(生体情報モニタ!$C$30:$C$74,B164,生体情報モニタ!$K$30:$K$74)*((生体情報モニタ!$H$3-生体情報モニタ!$I$3)/生体情報モニタ!$H$3),0)</f>
        <v>0</v>
      </c>
      <c r="AC164" s="306">
        <f t="shared" si="37"/>
        <v>0</v>
      </c>
      <c r="AD164" s="305">
        <f>IFERROR(SUMIF(分娩監視装置!$C$30:$C$74,B164,分娩監視装置!$K$30:$K$74)*((分娩監視装置!$H$3-分娩監視装置!$I$3)/分娩監視装置!$H$3),0)</f>
        <v>0</v>
      </c>
      <c r="AE164" s="306">
        <f t="shared" si="52"/>
        <v>0</v>
      </c>
      <c r="AF164" s="305">
        <f>IFERROR(SUMIF(新生児モニタ!$C$30:$C$74,B164,新生児モニタ!$K$30:$K$74)*((新生児モニタ!$H$3-新生児モニタ!$I$3)/新生児モニタ!$H$3),0)</f>
        <v>0</v>
      </c>
      <c r="AG164" s="306">
        <f t="shared" si="53"/>
        <v>0</v>
      </c>
    </row>
    <row r="165" spans="2:33">
      <c r="B165" s="283" t="s">
        <v>978</v>
      </c>
      <c r="C165" s="305">
        <f>IFERROR(SUMIF(初度設備!$C$30:$C$74,B165,初度設備!$K$30:$K$74)*((初度設備!$H$3-初度設備!$I$3)/初度設備!$H$3),0)</f>
        <v>0</v>
      </c>
      <c r="D165" s="306">
        <f t="shared" si="38"/>
        <v>0</v>
      </c>
      <c r="E165" s="305">
        <f>IFERROR(SUMIF(人工呼吸器!$C$30:$C$74,B165,人工呼吸器!$K$30:$K$74)*((人工呼吸器!$H$3-人工呼吸器!$I$3)/人工呼吸器!$H$3),0)</f>
        <v>0</v>
      </c>
      <c r="F165" s="306">
        <f t="shared" si="39"/>
        <v>0</v>
      </c>
      <c r="G165" s="306">
        <f t="shared" si="40"/>
        <v>0</v>
      </c>
      <c r="H165" s="306">
        <f t="shared" si="41"/>
        <v>0</v>
      </c>
      <c r="I165" s="305">
        <f>IFERROR(SUMIF(簡易陰圧装置!$C$30:$C$74,B165,簡易陰圧装置!$K$30:$K$74)*((簡易陰圧装置!$H$3-簡易陰圧装置!$I$3)/簡易陰圧装置!$H$3),0)</f>
        <v>0</v>
      </c>
      <c r="J165" s="306">
        <f t="shared" si="42"/>
        <v>0</v>
      </c>
      <c r="K165" s="305">
        <f>IFERROR(SUMIF(簡易ベッド!$C$30:$C$74,B165,簡易ベッド!$K$30:$K$74)*((簡易ベッド!$H$3-簡易ベッド!$I$3)/簡易ベッド!$H$3),0)</f>
        <v>0</v>
      </c>
      <c r="L165" s="306">
        <f t="shared" si="43"/>
        <v>0</v>
      </c>
      <c r="M165" s="305">
        <f>IFERROR(SUMIF(体外式膜型人工肺!$C$30:$C$74,B165,体外式膜型人工肺!$K$30:$K$74)*((体外式膜型人工肺!$H$3-体外式膜型人工肺!$I$3)/体外式膜型人工肺!$H$3),0)</f>
        <v>0</v>
      </c>
      <c r="N165" s="306">
        <f t="shared" si="44"/>
        <v>0</v>
      </c>
      <c r="O165" s="306">
        <f t="shared" si="45"/>
        <v>0</v>
      </c>
      <c r="P165" s="306">
        <f t="shared" si="46"/>
        <v>0</v>
      </c>
      <c r="Q165" s="305">
        <f>IFERROR(SUMIF(紫外線照射装置!$C$30:$C$74,B165,紫外線照射装置!$K$30:$K$74)*((紫外線照射装置!$H$3-紫外線照射装置!$I$3)/紫外線照射装置!$H$3),0)</f>
        <v>0</v>
      </c>
      <c r="R165" s="306">
        <f t="shared" si="47"/>
        <v>0</v>
      </c>
      <c r="S165" s="419">
        <f t="shared" si="48"/>
        <v>0</v>
      </c>
      <c r="T165" s="305">
        <f>IFERROR(SUMIF(超音波画像診断装置!$C$30:$C$74,B165,超音波画像診断装置!$K$30:$K$74)*((超音波画像診断装置!$H$3-超音波画像診断装置!$I$3)/超音波画像診断装置!$H$3),0)</f>
        <v>0</v>
      </c>
      <c r="U165" s="306">
        <f t="shared" si="49"/>
        <v>0</v>
      </c>
      <c r="V165" s="305">
        <f>IFERROR(SUMIF(血液浄化装置!$C$30:$C$74,B165,血液浄化装置!$K$30:$K$74)*((血液浄化装置!$H$3-血液浄化装置!$I$3)/血液浄化装置!$H$3),0)</f>
        <v>0</v>
      </c>
      <c r="W165" s="306">
        <f t="shared" si="50"/>
        <v>0</v>
      </c>
      <c r="X165" s="305">
        <f>IFERROR(SUMIF(気管支鏡!$C$30:$C$74,B165,気管支鏡!$K$30:$K$74)*((気管支鏡!$H$3-気管支鏡!$I$3)/気管支鏡!$H$3),0)</f>
        <v>0</v>
      </c>
      <c r="Y165" s="306">
        <f t="shared" si="36"/>
        <v>0</v>
      </c>
      <c r="Z165" s="305">
        <f>IFERROR(SUMIF(CT撮影装置!$C$30:$C$74,B165,CT撮影装置!$K$30:$K$74)*((CT撮影装置!$H$3-CT撮影装置!$I$3)/CT撮影装置!$H$3),0)</f>
        <v>0</v>
      </c>
      <c r="AA165" s="306">
        <f t="shared" si="51"/>
        <v>0</v>
      </c>
      <c r="AB165" s="305">
        <f>IFERROR(SUMIF(生体情報モニタ!$C$30:$C$74,B165,生体情報モニタ!$K$30:$K$74)*((生体情報モニタ!$H$3-生体情報モニタ!$I$3)/生体情報モニタ!$H$3),0)</f>
        <v>0</v>
      </c>
      <c r="AC165" s="306">
        <f t="shared" si="37"/>
        <v>0</v>
      </c>
      <c r="AD165" s="305">
        <f>IFERROR(SUMIF(分娩監視装置!$C$30:$C$74,B165,分娩監視装置!$K$30:$K$74)*((分娩監視装置!$H$3-分娩監視装置!$I$3)/分娩監視装置!$H$3),0)</f>
        <v>0</v>
      </c>
      <c r="AE165" s="306">
        <f t="shared" si="52"/>
        <v>0</v>
      </c>
      <c r="AF165" s="305">
        <f>IFERROR(SUMIF(新生児モニタ!$C$30:$C$74,B165,新生児モニタ!$K$30:$K$74)*((新生児モニタ!$H$3-新生児モニタ!$I$3)/新生児モニタ!$H$3),0)</f>
        <v>0</v>
      </c>
      <c r="AG165" s="306">
        <f t="shared" si="53"/>
        <v>0</v>
      </c>
    </row>
    <row r="166" spans="2:33">
      <c r="B166" s="283" t="s">
        <v>979</v>
      </c>
      <c r="C166" s="305">
        <f>IFERROR(SUMIF(初度設備!$C$30:$C$74,B166,初度設備!$K$30:$K$74)*((初度設備!$H$3-初度設備!$I$3)/初度設備!$H$3),0)</f>
        <v>0</v>
      </c>
      <c r="D166" s="306">
        <f t="shared" si="38"/>
        <v>0</v>
      </c>
      <c r="E166" s="305">
        <f>IFERROR(SUMIF(人工呼吸器!$C$30:$C$74,B166,人工呼吸器!$K$30:$K$74)*((人工呼吸器!$H$3-人工呼吸器!$I$3)/人工呼吸器!$H$3),0)</f>
        <v>0</v>
      </c>
      <c r="F166" s="306">
        <f t="shared" si="39"/>
        <v>0</v>
      </c>
      <c r="G166" s="306">
        <f t="shared" si="40"/>
        <v>0</v>
      </c>
      <c r="H166" s="306">
        <f t="shared" si="41"/>
        <v>0</v>
      </c>
      <c r="I166" s="305">
        <f>IFERROR(SUMIF(簡易陰圧装置!$C$30:$C$74,B166,簡易陰圧装置!$K$30:$K$74)*((簡易陰圧装置!$H$3-簡易陰圧装置!$I$3)/簡易陰圧装置!$H$3),0)</f>
        <v>0</v>
      </c>
      <c r="J166" s="306">
        <f t="shared" si="42"/>
        <v>0</v>
      </c>
      <c r="K166" s="305">
        <f>IFERROR(SUMIF(簡易ベッド!$C$30:$C$74,B166,簡易ベッド!$K$30:$K$74)*((簡易ベッド!$H$3-簡易ベッド!$I$3)/簡易ベッド!$H$3),0)</f>
        <v>0</v>
      </c>
      <c r="L166" s="306">
        <f t="shared" si="43"/>
        <v>0</v>
      </c>
      <c r="M166" s="305">
        <f>IFERROR(SUMIF(体外式膜型人工肺!$C$30:$C$74,B166,体外式膜型人工肺!$K$30:$K$74)*((体外式膜型人工肺!$H$3-体外式膜型人工肺!$I$3)/体外式膜型人工肺!$H$3),0)</f>
        <v>0</v>
      </c>
      <c r="N166" s="306">
        <f t="shared" si="44"/>
        <v>0</v>
      </c>
      <c r="O166" s="306">
        <f t="shared" si="45"/>
        <v>0</v>
      </c>
      <c r="P166" s="306">
        <f t="shared" si="46"/>
        <v>0</v>
      </c>
      <c r="Q166" s="305">
        <f>IFERROR(SUMIF(紫外線照射装置!$C$30:$C$74,B166,紫外線照射装置!$K$30:$K$74)*((紫外線照射装置!$H$3-紫外線照射装置!$I$3)/紫外線照射装置!$H$3),0)</f>
        <v>0</v>
      </c>
      <c r="R166" s="306">
        <f t="shared" si="47"/>
        <v>0</v>
      </c>
      <c r="S166" s="419">
        <f t="shared" si="48"/>
        <v>0</v>
      </c>
      <c r="T166" s="305">
        <f>IFERROR(SUMIF(超音波画像診断装置!$C$30:$C$74,B166,超音波画像診断装置!$K$30:$K$74)*((超音波画像診断装置!$H$3-超音波画像診断装置!$I$3)/超音波画像診断装置!$H$3),0)</f>
        <v>0</v>
      </c>
      <c r="U166" s="306">
        <f t="shared" si="49"/>
        <v>0</v>
      </c>
      <c r="V166" s="305">
        <f>IFERROR(SUMIF(血液浄化装置!$C$30:$C$74,B166,血液浄化装置!$K$30:$K$74)*((血液浄化装置!$H$3-血液浄化装置!$I$3)/血液浄化装置!$H$3),0)</f>
        <v>0</v>
      </c>
      <c r="W166" s="306">
        <f t="shared" si="50"/>
        <v>0</v>
      </c>
      <c r="X166" s="305">
        <f>IFERROR(SUMIF(気管支鏡!$C$30:$C$74,B166,気管支鏡!$K$30:$K$74)*((気管支鏡!$H$3-気管支鏡!$I$3)/気管支鏡!$H$3),0)</f>
        <v>0</v>
      </c>
      <c r="Y166" s="306">
        <f t="shared" si="36"/>
        <v>0</v>
      </c>
      <c r="Z166" s="305">
        <f>IFERROR(SUMIF(CT撮影装置!$C$30:$C$74,B166,CT撮影装置!$K$30:$K$74)*((CT撮影装置!$H$3-CT撮影装置!$I$3)/CT撮影装置!$H$3),0)</f>
        <v>0</v>
      </c>
      <c r="AA166" s="306">
        <f t="shared" si="51"/>
        <v>0</v>
      </c>
      <c r="AB166" s="305">
        <f>IFERROR(SUMIF(生体情報モニタ!$C$30:$C$74,B166,生体情報モニタ!$K$30:$K$74)*((生体情報モニタ!$H$3-生体情報モニタ!$I$3)/生体情報モニタ!$H$3),0)</f>
        <v>0</v>
      </c>
      <c r="AC166" s="306">
        <f t="shared" si="37"/>
        <v>0</v>
      </c>
      <c r="AD166" s="305">
        <f>IFERROR(SUMIF(分娩監視装置!$C$30:$C$74,B166,分娩監視装置!$K$30:$K$74)*((分娩監視装置!$H$3-分娩監視装置!$I$3)/分娩監視装置!$H$3),0)</f>
        <v>0</v>
      </c>
      <c r="AE166" s="306">
        <f t="shared" si="52"/>
        <v>0</v>
      </c>
      <c r="AF166" s="305">
        <f>IFERROR(SUMIF(新生児モニタ!$C$30:$C$74,B166,新生児モニタ!$K$30:$K$74)*((新生児モニタ!$H$3-新生児モニタ!$I$3)/新生児モニタ!$H$3),0)</f>
        <v>0</v>
      </c>
      <c r="AG166" s="306">
        <f t="shared" si="53"/>
        <v>0</v>
      </c>
    </row>
    <row r="167" spans="2:33">
      <c r="B167" s="283" t="s">
        <v>980</v>
      </c>
      <c r="C167" s="305">
        <f>IFERROR(SUMIF(初度設備!$C$30:$C$74,B167,初度設備!$K$30:$K$74)*((初度設備!$H$3-初度設備!$I$3)/初度設備!$H$3),0)</f>
        <v>0</v>
      </c>
      <c r="D167" s="306">
        <f t="shared" si="38"/>
        <v>0</v>
      </c>
      <c r="E167" s="305">
        <f>IFERROR(SUMIF(人工呼吸器!$C$30:$C$74,B167,人工呼吸器!$K$30:$K$74)*((人工呼吸器!$H$3-人工呼吸器!$I$3)/人工呼吸器!$H$3),0)</f>
        <v>0</v>
      </c>
      <c r="F167" s="306">
        <f t="shared" si="39"/>
        <v>0</v>
      </c>
      <c r="G167" s="306">
        <f t="shared" si="40"/>
        <v>0</v>
      </c>
      <c r="H167" s="306">
        <f t="shared" si="41"/>
        <v>0</v>
      </c>
      <c r="I167" s="305">
        <f>IFERROR(SUMIF(簡易陰圧装置!$C$30:$C$74,B167,簡易陰圧装置!$K$30:$K$74)*((簡易陰圧装置!$H$3-簡易陰圧装置!$I$3)/簡易陰圧装置!$H$3),0)</f>
        <v>0</v>
      </c>
      <c r="J167" s="306">
        <f t="shared" si="42"/>
        <v>0</v>
      </c>
      <c r="K167" s="305">
        <f>IFERROR(SUMIF(簡易ベッド!$C$30:$C$74,B167,簡易ベッド!$K$30:$K$74)*((簡易ベッド!$H$3-簡易ベッド!$I$3)/簡易ベッド!$H$3),0)</f>
        <v>0</v>
      </c>
      <c r="L167" s="306">
        <f t="shared" si="43"/>
        <v>0</v>
      </c>
      <c r="M167" s="305">
        <f>IFERROR(SUMIF(体外式膜型人工肺!$C$30:$C$74,B167,体外式膜型人工肺!$K$30:$K$74)*((体外式膜型人工肺!$H$3-体外式膜型人工肺!$I$3)/体外式膜型人工肺!$H$3),0)</f>
        <v>0</v>
      </c>
      <c r="N167" s="306">
        <f t="shared" si="44"/>
        <v>0</v>
      </c>
      <c r="O167" s="306">
        <f t="shared" si="45"/>
        <v>0</v>
      </c>
      <c r="P167" s="306">
        <f t="shared" si="46"/>
        <v>0</v>
      </c>
      <c r="Q167" s="305">
        <f>IFERROR(SUMIF(紫外線照射装置!$C$30:$C$74,B167,紫外線照射装置!$K$30:$K$74)*((紫外線照射装置!$H$3-紫外線照射装置!$I$3)/紫外線照射装置!$H$3),0)</f>
        <v>0</v>
      </c>
      <c r="R167" s="306">
        <f t="shared" si="47"/>
        <v>0</v>
      </c>
      <c r="S167" s="419">
        <f t="shared" si="48"/>
        <v>0</v>
      </c>
      <c r="T167" s="305">
        <f>IFERROR(SUMIF(超音波画像診断装置!$C$30:$C$74,B167,超音波画像診断装置!$K$30:$K$74)*((超音波画像診断装置!$H$3-超音波画像診断装置!$I$3)/超音波画像診断装置!$H$3),0)</f>
        <v>0</v>
      </c>
      <c r="U167" s="306">
        <f t="shared" si="49"/>
        <v>0</v>
      </c>
      <c r="V167" s="305">
        <f>IFERROR(SUMIF(血液浄化装置!$C$30:$C$74,B167,血液浄化装置!$K$30:$K$74)*((血液浄化装置!$H$3-血液浄化装置!$I$3)/血液浄化装置!$H$3),0)</f>
        <v>0</v>
      </c>
      <c r="W167" s="306">
        <f t="shared" si="50"/>
        <v>0</v>
      </c>
      <c r="X167" s="305">
        <f>IFERROR(SUMIF(気管支鏡!$C$30:$C$74,B167,気管支鏡!$K$30:$K$74)*((気管支鏡!$H$3-気管支鏡!$I$3)/気管支鏡!$H$3),0)</f>
        <v>0</v>
      </c>
      <c r="Y167" s="306">
        <f t="shared" si="36"/>
        <v>0</v>
      </c>
      <c r="Z167" s="305">
        <f>IFERROR(SUMIF(CT撮影装置!$C$30:$C$74,B167,CT撮影装置!$K$30:$K$74)*((CT撮影装置!$H$3-CT撮影装置!$I$3)/CT撮影装置!$H$3),0)</f>
        <v>0</v>
      </c>
      <c r="AA167" s="306">
        <f t="shared" si="51"/>
        <v>0</v>
      </c>
      <c r="AB167" s="305">
        <f>IFERROR(SUMIF(生体情報モニタ!$C$30:$C$74,B167,生体情報モニタ!$K$30:$K$74)*((生体情報モニタ!$H$3-生体情報モニタ!$I$3)/生体情報モニタ!$H$3),0)</f>
        <v>0</v>
      </c>
      <c r="AC167" s="306">
        <f t="shared" si="37"/>
        <v>0</v>
      </c>
      <c r="AD167" s="305">
        <f>IFERROR(SUMIF(分娩監視装置!$C$30:$C$74,B167,分娩監視装置!$K$30:$K$74)*((分娩監視装置!$H$3-分娩監視装置!$I$3)/分娩監視装置!$H$3),0)</f>
        <v>0</v>
      </c>
      <c r="AE167" s="306">
        <f t="shared" si="52"/>
        <v>0</v>
      </c>
      <c r="AF167" s="305">
        <f>IFERROR(SUMIF(新生児モニタ!$C$30:$C$74,B167,新生児モニタ!$K$30:$K$74)*((新生児モニタ!$H$3-新生児モニタ!$I$3)/新生児モニタ!$H$3),0)</f>
        <v>0</v>
      </c>
      <c r="AG167" s="306">
        <f t="shared" si="53"/>
        <v>0</v>
      </c>
    </row>
    <row r="168" spans="2:33">
      <c r="B168" s="283" t="s">
        <v>981</v>
      </c>
      <c r="C168" s="305">
        <f>IFERROR(SUMIF(初度設備!$C$30:$C$74,B168,初度設備!$K$30:$K$74)*((初度設備!$H$3-初度設備!$I$3)/初度設備!$H$3),0)</f>
        <v>0</v>
      </c>
      <c r="D168" s="306">
        <f t="shared" si="38"/>
        <v>0</v>
      </c>
      <c r="E168" s="305">
        <f>IFERROR(SUMIF(人工呼吸器!$C$30:$C$74,B168,人工呼吸器!$K$30:$K$74)*((人工呼吸器!$H$3-人工呼吸器!$I$3)/人工呼吸器!$H$3),0)</f>
        <v>0</v>
      </c>
      <c r="F168" s="306">
        <f t="shared" si="39"/>
        <v>0</v>
      </c>
      <c r="G168" s="306">
        <f t="shared" si="40"/>
        <v>0</v>
      </c>
      <c r="H168" s="306">
        <f t="shared" si="41"/>
        <v>0</v>
      </c>
      <c r="I168" s="305">
        <f>IFERROR(SUMIF(簡易陰圧装置!$C$30:$C$74,B168,簡易陰圧装置!$K$30:$K$74)*((簡易陰圧装置!$H$3-簡易陰圧装置!$I$3)/簡易陰圧装置!$H$3),0)</f>
        <v>0</v>
      </c>
      <c r="J168" s="306">
        <f t="shared" si="42"/>
        <v>0</v>
      </c>
      <c r="K168" s="305">
        <f>IFERROR(SUMIF(簡易ベッド!$C$30:$C$74,B168,簡易ベッド!$K$30:$K$74)*((簡易ベッド!$H$3-簡易ベッド!$I$3)/簡易ベッド!$H$3),0)</f>
        <v>0</v>
      </c>
      <c r="L168" s="306">
        <f t="shared" si="43"/>
        <v>0</v>
      </c>
      <c r="M168" s="305">
        <f>IFERROR(SUMIF(体外式膜型人工肺!$C$30:$C$74,B168,体外式膜型人工肺!$K$30:$K$74)*((体外式膜型人工肺!$H$3-体外式膜型人工肺!$I$3)/体外式膜型人工肺!$H$3),0)</f>
        <v>0</v>
      </c>
      <c r="N168" s="306">
        <f t="shared" si="44"/>
        <v>0</v>
      </c>
      <c r="O168" s="306">
        <f t="shared" si="45"/>
        <v>0</v>
      </c>
      <c r="P168" s="306">
        <f t="shared" si="46"/>
        <v>0</v>
      </c>
      <c r="Q168" s="305">
        <f>IFERROR(SUMIF(紫外線照射装置!$C$30:$C$74,B168,紫外線照射装置!$K$30:$K$74)*((紫外線照射装置!$H$3-紫外線照射装置!$I$3)/紫外線照射装置!$H$3),0)</f>
        <v>0</v>
      </c>
      <c r="R168" s="306">
        <f t="shared" si="47"/>
        <v>0</v>
      </c>
      <c r="S168" s="419">
        <f t="shared" si="48"/>
        <v>0</v>
      </c>
      <c r="T168" s="305">
        <f>IFERROR(SUMIF(超音波画像診断装置!$C$30:$C$74,B168,超音波画像診断装置!$K$30:$K$74)*((超音波画像診断装置!$H$3-超音波画像診断装置!$I$3)/超音波画像診断装置!$H$3),0)</f>
        <v>0</v>
      </c>
      <c r="U168" s="306">
        <f t="shared" si="49"/>
        <v>0</v>
      </c>
      <c r="V168" s="305">
        <f>IFERROR(SUMIF(血液浄化装置!$C$30:$C$74,B168,血液浄化装置!$K$30:$K$74)*((血液浄化装置!$H$3-血液浄化装置!$I$3)/血液浄化装置!$H$3),0)</f>
        <v>0</v>
      </c>
      <c r="W168" s="306">
        <f t="shared" si="50"/>
        <v>0</v>
      </c>
      <c r="X168" s="305">
        <f>IFERROR(SUMIF(気管支鏡!$C$30:$C$74,B168,気管支鏡!$K$30:$K$74)*((気管支鏡!$H$3-気管支鏡!$I$3)/気管支鏡!$H$3),0)</f>
        <v>0</v>
      </c>
      <c r="Y168" s="306">
        <f t="shared" si="36"/>
        <v>0</v>
      </c>
      <c r="Z168" s="305">
        <f>IFERROR(SUMIF(CT撮影装置!$C$30:$C$74,B168,CT撮影装置!$K$30:$K$74)*((CT撮影装置!$H$3-CT撮影装置!$I$3)/CT撮影装置!$H$3),0)</f>
        <v>0</v>
      </c>
      <c r="AA168" s="306">
        <f t="shared" si="51"/>
        <v>0</v>
      </c>
      <c r="AB168" s="305">
        <f>IFERROR(SUMIF(生体情報モニタ!$C$30:$C$74,B168,生体情報モニタ!$K$30:$K$74)*((生体情報モニタ!$H$3-生体情報モニタ!$I$3)/生体情報モニタ!$H$3),0)</f>
        <v>0</v>
      </c>
      <c r="AC168" s="306">
        <f t="shared" si="37"/>
        <v>0</v>
      </c>
      <c r="AD168" s="305">
        <f>IFERROR(SUMIF(分娩監視装置!$C$30:$C$74,B168,分娩監視装置!$K$30:$K$74)*((分娩監視装置!$H$3-分娩監視装置!$I$3)/分娩監視装置!$H$3),0)</f>
        <v>0</v>
      </c>
      <c r="AE168" s="306">
        <f t="shared" si="52"/>
        <v>0</v>
      </c>
      <c r="AF168" s="305">
        <f>IFERROR(SUMIF(新生児モニタ!$C$30:$C$74,B168,新生児モニタ!$K$30:$K$74)*((新生児モニタ!$H$3-新生児モニタ!$I$3)/新生児モニタ!$H$3),0)</f>
        <v>0</v>
      </c>
      <c r="AG168" s="306">
        <f t="shared" si="53"/>
        <v>0</v>
      </c>
    </row>
    <row r="169" spans="2:33">
      <c r="B169" s="283" t="s">
        <v>982</v>
      </c>
      <c r="C169" s="305">
        <f>IFERROR(SUMIF(初度設備!$C$30:$C$74,B169,初度設備!$K$30:$K$74)*((初度設備!$H$3-初度設備!$I$3)/初度設備!$H$3),0)</f>
        <v>0</v>
      </c>
      <c r="D169" s="306">
        <f t="shared" si="38"/>
        <v>0</v>
      </c>
      <c r="E169" s="305">
        <f>IFERROR(SUMIF(人工呼吸器!$C$30:$C$74,B169,人工呼吸器!$K$30:$K$74)*((人工呼吸器!$H$3-人工呼吸器!$I$3)/人工呼吸器!$H$3),0)</f>
        <v>0</v>
      </c>
      <c r="F169" s="306">
        <f t="shared" si="39"/>
        <v>0</v>
      </c>
      <c r="G169" s="306">
        <f t="shared" si="40"/>
        <v>0</v>
      </c>
      <c r="H169" s="306">
        <f t="shared" si="41"/>
        <v>0</v>
      </c>
      <c r="I169" s="305">
        <f>IFERROR(SUMIF(簡易陰圧装置!$C$30:$C$74,B169,簡易陰圧装置!$K$30:$K$74)*((簡易陰圧装置!$H$3-簡易陰圧装置!$I$3)/簡易陰圧装置!$H$3),0)</f>
        <v>0</v>
      </c>
      <c r="J169" s="306">
        <f t="shared" si="42"/>
        <v>0</v>
      </c>
      <c r="K169" s="305">
        <f>IFERROR(SUMIF(簡易ベッド!$C$30:$C$74,B169,簡易ベッド!$K$30:$K$74)*((簡易ベッド!$H$3-簡易ベッド!$I$3)/簡易ベッド!$H$3),0)</f>
        <v>0</v>
      </c>
      <c r="L169" s="306">
        <f t="shared" si="43"/>
        <v>0</v>
      </c>
      <c r="M169" s="305">
        <f>IFERROR(SUMIF(体外式膜型人工肺!$C$30:$C$74,B169,体外式膜型人工肺!$K$30:$K$74)*((体外式膜型人工肺!$H$3-体外式膜型人工肺!$I$3)/体外式膜型人工肺!$H$3),0)</f>
        <v>0</v>
      </c>
      <c r="N169" s="306">
        <f t="shared" si="44"/>
        <v>0</v>
      </c>
      <c r="O169" s="306">
        <f t="shared" si="45"/>
        <v>0</v>
      </c>
      <c r="P169" s="306">
        <f t="shared" si="46"/>
        <v>0</v>
      </c>
      <c r="Q169" s="305">
        <f>IFERROR(SUMIF(紫外線照射装置!$C$30:$C$74,B169,紫外線照射装置!$K$30:$K$74)*((紫外線照射装置!$H$3-紫外線照射装置!$I$3)/紫外線照射装置!$H$3),0)</f>
        <v>0</v>
      </c>
      <c r="R169" s="306">
        <f t="shared" si="47"/>
        <v>0</v>
      </c>
      <c r="S169" s="419">
        <f t="shared" si="48"/>
        <v>0</v>
      </c>
      <c r="T169" s="305">
        <f>IFERROR(SUMIF(超音波画像診断装置!$C$30:$C$74,B169,超音波画像診断装置!$K$30:$K$74)*((超音波画像診断装置!$H$3-超音波画像診断装置!$I$3)/超音波画像診断装置!$H$3),0)</f>
        <v>0</v>
      </c>
      <c r="U169" s="306">
        <f t="shared" si="49"/>
        <v>0</v>
      </c>
      <c r="V169" s="305">
        <f>IFERROR(SUMIF(血液浄化装置!$C$30:$C$74,B169,血液浄化装置!$K$30:$K$74)*((血液浄化装置!$H$3-血液浄化装置!$I$3)/血液浄化装置!$H$3),0)</f>
        <v>0</v>
      </c>
      <c r="W169" s="306">
        <f t="shared" si="50"/>
        <v>0</v>
      </c>
      <c r="X169" s="305">
        <f>IFERROR(SUMIF(気管支鏡!$C$30:$C$74,B169,気管支鏡!$K$30:$K$74)*((気管支鏡!$H$3-気管支鏡!$I$3)/気管支鏡!$H$3),0)</f>
        <v>0</v>
      </c>
      <c r="Y169" s="306">
        <f t="shared" si="36"/>
        <v>0</v>
      </c>
      <c r="Z169" s="305">
        <f>IFERROR(SUMIF(CT撮影装置!$C$30:$C$74,B169,CT撮影装置!$K$30:$K$74)*((CT撮影装置!$H$3-CT撮影装置!$I$3)/CT撮影装置!$H$3),0)</f>
        <v>0</v>
      </c>
      <c r="AA169" s="306">
        <f t="shared" si="51"/>
        <v>0</v>
      </c>
      <c r="AB169" s="305">
        <f>IFERROR(SUMIF(生体情報モニタ!$C$30:$C$74,B169,生体情報モニタ!$K$30:$K$74)*((生体情報モニタ!$H$3-生体情報モニタ!$I$3)/生体情報モニタ!$H$3),0)</f>
        <v>0</v>
      </c>
      <c r="AC169" s="306">
        <f t="shared" si="37"/>
        <v>0</v>
      </c>
      <c r="AD169" s="305">
        <f>IFERROR(SUMIF(分娩監視装置!$C$30:$C$74,B169,分娩監視装置!$K$30:$K$74)*((分娩監視装置!$H$3-分娩監視装置!$I$3)/分娩監視装置!$H$3),0)</f>
        <v>0</v>
      </c>
      <c r="AE169" s="306">
        <f t="shared" si="52"/>
        <v>0</v>
      </c>
      <c r="AF169" s="305">
        <f>IFERROR(SUMIF(新生児モニタ!$C$30:$C$74,B169,新生児モニタ!$K$30:$K$74)*((新生児モニタ!$H$3-新生児モニタ!$I$3)/新生児モニタ!$H$3),0)</f>
        <v>0</v>
      </c>
      <c r="AG169" s="306">
        <f t="shared" si="53"/>
        <v>0</v>
      </c>
    </row>
    <row r="170" spans="2:33">
      <c r="B170" s="283" t="s">
        <v>983</v>
      </c>
      <c r="C170" s="305">
        <f>IFERROR(SUMIF(初度設備!$C$30:$C$74,B170,初度設備!$K$30:$K$74)*((初度設備!$H$3-初度設備!$I$3)/初度設備!$H$3),0)</f>
        <v>0</v>
      </c>
      <c r="D170" s="306">
        <f t="shared" si="38"/>
        <v>0</v>
      </c>
      <c r="E170" s="305">
        <f>IFERROR(SUMIF(人工呼吸器!$C$30:$C$74,B170,人工呼吸器!$K$30:$K$74)*((人工呼吸器!$H$3-人工呼吸器!$I$3)/人工呼吸器!$H$3),0)</f>
        <v>0</v>
      </c>
      <c r="F170" s="306">
        <f t="shared" si="39"/>
        <v>0</v>
      </c>
      <c r="G170" s="306">
        <f t="shared" si="40"/>
        <v>0</v>
      </c>
      <c r="H170" s="306">
        <f t="shared" si="41"/>
        <v>0</v>
      </c>
      <c r="I170" s="305">
        <f>IFERROR(SUMIF(簡易陰圧装置!$C$30:$C$74,B170,簡易陰圧装置!$K$30:$K$74)*((簡易陰圧装置!$H$3-簡易陰圧装置!$I$3)/簡易陰圧装置!$H$3),0)</f>
        <v>0</v>
      </c>
      <c r="J170" s="306">
        <f t="shared" si="42"/>
        <v>0</v>
      </c>
      <c r="K170" s="305">
        <f>IFERROR(SUMIF(簡易ベッド!$C$30:$C$74,B170,簡易ベッド!$K$30:$K$74)*((簡易ベッド!$H$3-簡易ベッド!$I$3)/簡易ベッド!$H$3),0)</f>
        <v>0</v>
      </c>
      <c r="L170" s="306">
        <f t="shared" si="43"/>
        <v>0</v>
      </c>
      <c r="M170" s="305">
        <f>IFERROR(SUMIF(体外式膜型人工肺!$C$30:$C$74,B170,体外式膜型人工肺!$K$30:$K$74)*((体外式膜型人工肺!$H$3-体外式膜型人工肺!$I$3)/体外式膜型人工肺!$H$3),0)</f>
        <v>0</v>
      </c>
      <c r="N170" s="306">
        <f t="shared" si="44"/>
        <v>0</v>
      </c>
      <c r="O170" s="306">
        <f t="shared" si="45"/>
        <v>0</v>
      </c>
      <c r="P170" s="306">
        <f t="shared" si="46"/>
        <v>0</v>
      </c>
      <c r="Q170" s="305">
        <f>IFERROR(SUMIF(紫外線照射装置!$C$30:$C$74,B170,紫外線照射装置!$K$30:$K$74)*((紫外線照射装置!$H$3-紫外線照射装置!$I$3)/紫外線照射装置!$H$3),0)</f>
        <v>0</v>
      </c>
      <c r="R170" s="306">
        <f t="shared" si="47"/>
        <v>0</v>
      </c>
      <c r="S170" s="419">
        <f t="shared" si="48"/>
        <v>0</v>
      </c>
      <c r="T170" s="305">
        <f>IFERROR(SUMIF(超音波画像診断装置!$C$30:$C$74,B170,超音波画像診断装置!$K$30:$K$74)*((超音波画像診断装置!$H$3-超音波画像診断装置!$I$3)/超音波画像診断装置!$H$3),0)</f>
        <v>0</v>
      </c>
      <c r="U170" s="306">
        <f t="shared" si="49"/>
        <v>0</v>
      </c>
      <c r="V170" s="305">
        <f>IFERROR(SUMIF(血液浄化装置!$C$30:$C$74,B170,血液浄化装置!$K$30:$K$74)*((血液浄化装置!$H$3-血液浄化装置!$I$3)/血液浄化装置!$H$3),0)</f>
        <v>0</v>
      </c>
      <c r="W170" s="306">
        <f t="shared" si="50"/>
        <v>0</v>
      </c>
      <c r="X170" s="305">
        <f>IFERROR(SUMIF(気管支鏡!$C$30:$C$74,B170,気管支鏡!$K$30:$K$74)*((気管支鏡!$H$3-気管支鏡!$I$3)/気管支鏡!$H$3),0)</f>
        <v>0</v>
      </c>
      <c r="Y170" s="306">
        <f t="shared" si="36"/>
        <v>0</v>
      </c>
      <c r="Z170" s="305">
        <f>IFERROR(SUMIF(CT撮影装置!$C$30:$C$74,B170,CT撮影装置!$K$30:$K$74)*((CT撮影装置!$H$3-CT撮影装置!$I$3)/CT撮影装置!$H$3),0)</f>
        <v>0</v>
      </c>
      <c r="AA170" s="306">
        <f t="shared" si="51"/>
        <v>0</v>
      </c>
      <c r="AB170" s="305">
        <f>IFERROR(SUMIF(生体情報モニタ!$C$30:$C$74,B170,生体情報モニタ!$K$30:$K$74)*((生体情報モニタ!$H$3-生体情報モニタ!$I$3)/生体情報モニタ!$H$3),0)</f>
        <v>0</v>
      </c>
      <c r="AC170" s="306">
        <f t="shared" si="37"/>
        <v>0</v>
      </c>
      <c r="AD170" s="305">
        <f>IFERROR(SUMIF(分娩監視装置!$C$30:$C$74,B170,分娩監視装置!$K$30:$K$74)*((分娩監視装置!$H$3-分娩監視装置!$I$3)/分娩監視装置!$H$3),0)</f>
        <v>0</v>
      </c>
      <c r="AE170" s="306">
        <f t="shared" si="52"/>
        <v>0</v>
      </c>
      <c r="AF170" s="305">
        <f>IFERROR(SUMIF(新生児モニタ!$C$30:$C$74,B170,新生児モニタ!$K$30:$K$74)*((新生児モニタ!$H$3-新生児モニタ!$I$3)/新生児モニタ!$H$3),0)</f>
        <v>0</v>
      </c>
      <c r="AG170" s="306">
        <f t="shared" si="53"/>
        <v>0</v>
      </c>
    </row>
    <row r="171" spans="2:33">
      <c r="B171" s="283" t="s">
        <v>984</v>
      </c>
      <c r="C171" s="305">
        <f>IFERROR(SUMIF(初度設備!$C$30:$C$74,B171,初度設備!$K$30:$K$74)*((初度設備!$H$3-初度設備!$I$3)/初度設備!$H$3),0)</f>
        <v>0</v>
      </c>
      <c r="D171" s="306">
        <f t="shared" si="38"/>
        <v>0</v>
      </c>
      <c r="E171" s="305">
        <f>IFERROR(SUMIF(人工呼吸器!$C$30:$C$74,B171,人工呼吸器!$K$30:$K$74)*((人工呼吸器!$H$3-人工呼吸器!$I$3)/人工呼吸器!$H$3),0)</f>
        <v>0</v>
      </c>
      <c r="F171" s="306">
        <f t="shared" si="39"/>
        <v>0</v>
      </c>
      <c r="G171" s="306">
        <f t="shared" si="40"/>
        <v>0</v>
      </c>
      <c r="H171" s="306">
        <f t="shared" si="41"/>
        <v>0</v>
      </c>
      <c r="I171" s="305">
        <f>IFERROR(SUMIF(簡易陰圧装置!$C$30:$C$74,B171,簡易陰圧装置!$K$30:$K$74)*((簡易陰圧装置!$H$3-簡易陰圧装置!$I$3)/簡易陰圧装置!$H$3),0)</f>
        <v>0</v>
      </c>
      <c r="J171" s="306">
        <f t="shared" si="42"/>
        <v>0</v>
      </c>
      <c r="K171" s="305">
        <f>IFERROR(SUMIF(簡易ベッド!$C$30:$C$74,B171,簡易ベッド!$K$30:$K$74)*((簡易ベッド!$H$3-簡易ベッド!$I$3)/簡易ベッド!$H$3),0)</f>
        <v>0</v>
      </c>
      <c r="L171" s="306">
        <f t="shared" si="43"/>
        <v>0</v>
      </c>
      <c r="M171" s="305">
        <f>IFERROR(SUMIF(体外式膜型人工肺!$C$30:$C$74,B171,体外式膜型人工肺!$K$30:$K$74)*((体外式膜型人工肺!$H$3-体外式膜型人工肺!$I$3)/体外式膜型人工肺!$H$3),0)</f>
        <v>0</v>
      </c>
      <c r="N171" s="306">
        <f t="shared" si="44"/>
        <v>0</v>
      </c>
      <c r="O171" s="306">
        <f t="shared" si="45"/>
        <v>0</v>
      </c>
      <c r="P171" s="306">
        <f t="shared" si="46"/>
        <v>0</v>
      </c>
      <c r="Q171" s="305">
        <f>IFERROR(SUMIF(紫外線照射装置!$C$30:$C$74,B171,紫外線照射装置!$K$30:$K$74)*((紫外線照射装置!$H$3-紫外線照射装置!$I$3)/紫外線照射装置!$H$3),0)</f>
        <v>0</v>
      </c>
      <c r="R171" s="306">
        <f t="shared" si="47"/>
        <v>0</v>
      </c>
      <c r="S171" s="419">
        <f t="shared" si="48"/>
        <v>0</v>
      </c>
      <c r="T171" s="305">
        <f>IFERROR(SUMIF(超音波画像診断装置!$C$30:$C$74,B171,超音波画像診断装置!$K$30:$K$74)*((超音波画像診断装置!$H$3-超音波画像診断装置!$I$3)/超音波画像診断装置!$H$3),0)</f>
        <v>0</v>
      </c>
      <c r="U171" s="306">
        <f t="shared" si="49"/>
        <v>0</v>
      </c>
      <c r="V171" s="305">
        <f>IFERROR(SUMIF(血液浄化装置!$C$30:$C$74,B171,血液浄化装置!$K$30:$K$74)*((血液浄化装置!$H$3-血液浄化装置!$I$3)/血液浄化装置!$H$3),0)</f>
        <v>0</v>
      </c>
      <c r="W171" s="306">
        <f t="shared" si="50"/>
        <v>0</v>
      </c>
      <c r="X171" s="305">
        <f>IFERROR(SUMIF(気管支鏡!$C$30:$C$74,B171,気管支鏡!$K$30:$K$74)*((気管支鏡!$H$3-気管支鏡!$I$3)/気管支鏡!$H$3),0)</f>
        <v>0</v>
      </c>
      <c r="Y171" s="306">
        <f t="shared" si="36"/>
        <v>0</v>
      </c>
      <c r="Z171" s="305">
        <f>IFERROR(SUMIF(CT撮影装置!$C$30:$C$74,B171,CT撮影装置!$K$30:$K$74)*((CT撮影装置!$H$3-CT撮影装置!$I$3)/CT撮影装置!$H$3),0)</f>
        <v>0</v>
      </c>
      <c r="AA171" s="306">
        <f t="shared" si="51"/>
        <v>0</v>
      </c>
      <c r="AB171" s="305">
        <f>IFERROR(SUMIF(生体情報モニタ!$C$30:$C$74,B171,生体情報モニタ!$K$30:$K$74)*((生体情報モニタ!$H$3-生体情報モニタ!$I$3)/生体情報モニタ!$H$3),0)</f>
        <v>0</v>
      </c>
      <c r="AC171" s="306">
        <f t="shared" si="37"/>
        <v>0</v>
      </c>
      <c r="AD171" s="305">
        <f>IFERROR(SUMIF(分娩監視装置!$C$30:$C$74,B171,分娩監視装置!$K$30:$K$74)*((分娩監視装置!$H$3-分娩監視装置!$I$3)/分娩監視装置!$H$3),0)</f>
        <v>0</v>
      </c>
      <c r="AE171" s="306">
        <f t="shared" si="52"/>
        <v>0</v>
      </c>
      <c r="AF171" s="305">
        <f>IFERROR(SUMIF(新生児モニタ!$C$30:$C$74,B171,新生児モニタ!$K$30:$K$74)*((新生児モニタ!$H$3-新生児モニタ!$I$3)/新生児モニタ!$H$3),0)</f>
        <v>0</v>
      </c>
      <c r="AG171" s="306">
        <f t="shared" si="53"/>
        <v>0</v>
      </c>
    </row>
    <row r="172" spans="2:33">
      <c r="B172" s="283" t="s">
        <v>985</v>
      </c>
      <c r="C172" s="305">
        <f>IFERROR(SUMIF(初度設備!$C$30:$C$74,B172,初度設備!$K$30:$K$74)*((初度設備!$H$3-初度設備!$I$3)/初度設備!$H$3),0)</f>
        <v>0</v>
      </c>
      <c r="D172" s="306">
        <f t="shared" si="38"/>
        <v>0</v>
      </c>
      <c r="E172" s="305">
        <f>IFERROR(SUMIF(人工呼吸器!$C$30:$C$74,B172,人工呼吸器!$K$30:$K$74)*((人工呼吸器!$H$3-人工呼吸器!$I$3)/人工呼吸器!$H$3),0)</f>
        <v>0</v>
      </c>
      <c r="F172" s="306">
        <f t="shared" si="39"/>
        <v>0</v>
      </c>
      <c r="G172" s="306">
        <f t="shared" si="40"/>
        <v>0</v>
      </c>
      <c r="H172" s="306">
        <f t="shared" si="41"/>
        <v>0</v>
      </c>
      <c r="I172" s="305">
        <f>IFERROR(SUMIF(簡易陰圧装置!$C$30:$C$74,B172,簡易陰圧装置!$K$30:$K$74)*((簡易陰圧装置!$H$3-簡易陰圧装置!$I$3)/簡易陰圧装置!$H$3),0)</f>
        <v>0</v>
      </c>
      <c r="J172" s="306">
        <f t="shared" si="42"/>
        <v>0</v>
      </c>
      <c r="K172" s="305">
        <f>IFERROR(SUMIF(簡易ベッド!$C$30:$C$74,B172,簡易ベッド!$K$30:$K$74)*((簡易ベッド!$H$3-簡易ベッド!$I$3)/簡易ベッド!$H$3),0)</f>
        <v>0</v>
      </c>
      <c r="L172" s="306">
        <f t="shared" si="43"/>
        <v>0</v>
      </c>
      <c r="M172" s="305">
        <f>IFERROR(SUMIF(体外式膜型人工肺!$C$30:$C$74,B172,体外式膜型人工肺!$K$30:$K$74)*((体外式膜型人工肺!$H$3-体外式膜型人工肺!$I$3)/体外式膜型人工肺!$H$3),0)</f>
        <v>0</v>
      </c>
      <c r="N172" s="306">
        <f t="shared" si="44"/>
        <v>0</v>
      </c>
      <c r="O172" s="306">
        <f t="shared" si="45"/>
        <v>0</v>
      </c>
      <c r="P172" s="306">
        <f t="shared" si="46"/>
        <v>0</v>
      </c>
      <c r="Q172" s="305">
        <f>IFERROR(SUMIF(紫外線照射装置!$C$30:$C$74,B172,紫外線照射装置!$K$30:$K$74)*((紫外線照射装置!$H$3-紫外線照射装置!$I$3)/紫外線照射装置!$H$3),0)</f>
        <v>0</v>
      </c>
      <c r="R172" s="306">
        <f t="shared" si="47"/>
        <v>0</v>
      </c>
      <c r="S172" s="419">
        <f t="shared" si="48"/>
        <v>0</v>
      </c>
      <c r="T172" s="305">
        <f>IFERROR(SUMIF(超音波画像診断装置!$C$30:$C$74,B172,超音波画像診断装置!$K$30:$K$74)*((超音波画像診断装置!$H$3-超音波画像診断装置!$I$3)/超音波画像診断装置!$H$3),0)</f>
        <v>0</v>
      </c>
      <c r="U172" s="306">
        <f t="shared" si="49"/>
        <v>0</v>
      </c>
      <c r="V172" s="305">
        <f>IFERROR(SUMIF(血液浄化装置!$C$30:$C$74,B172,血液浄化装置!$K$30:$K$74)*((血液浄化装置!$H$3-血液浄化装置!$I$3)/血液浄化装置!$H$3),0)</f>
        <v>0</v>
      </c>
      <c r="W172" s="306">
        <f t="shared" si="50"/>
        <v>0</v>
      </c>
      <c r="X172" s="305">
        <f>IFERROR(SUMIF(気管支鏡!$C$30:$C$74,B172,気管支鏡!$K$30:$K$74)*((気管支鏡!$H$3-気管支鏡!$I$3)/気管支鏡!$H$3),0)</f>
        <v>0</v>
      </c>
      <c r="Y172" s="306">
        <f t="shared" si="36"/>
        <v>0</v>
      </c>
      <c r="Z172" s="305">
        <f>IFERROR(SUMIF(CT撮影装置!$C$30:$C$74,B172,CT撮影装置!$K$30:$K$74)*((CT撮影装置!$H$3-CT撮影装置!$I$3)/CT撮影装置!$H$3),0)</f>
        <v>0</v>
      </c>
      <c r="AA172" s="306">
        <f t="shared" si="51"/>
        <v>0</v>
      </c>
      <c r="AB172" s="305">
        <f>IFERROR(SUMIF(生体情報モニタ!$C$30:$C$74,B172,生体情報モニタ!$K$30:$K$74)*((生体情報モニタ!$H$3-生体情報モニタ!$I$3)/生体情報モニタ!$H$3),0)</f>
        <v>0</v>
      </c>
      <c r="AC172" s="306">
        <f t="shared" si="37"/>
        <v>0</v>
      </c>
      <c r="AD172" s="305">
        <f>IFERROR(SUMIF(分娩監視装置!$C$30:$C$74,B172,分娩監視装置!$K$30:$K$74)*((分娩監視装置!$H$3-分娩監視装置!$I$3)/分娩監視装置!$H$3),0)</f>
        <v>0</v>
      </c>
      <c r="AE172" s="306">
        <f t="shared" si="52"/>
        <v>0</v>
      </c>
      <c r="AF172" s="305">
        <f>IFERROR(SUMIF(新生児モニタ!$C$30:$C$74,B172,新生児モニタ!$K$30:$K$74)*((新生児モニタ!$H$3-新生児モニタ!$I$3)/新生児モニタ!$H$3),0)</f>
        <v>0</v>
      </c>
      <c r="AG172" s="306">
        <f t="shared" si="53"/>
        <v>0</v>
      </c>
    </row>
    <row r="173" spans="2:33">
      <c r="B173" s="283" t="s">
        <v>986</v>
      </c>
      <c r="C173" s="305">
        <f>IFERROR(SUMIF(初度設備!$C$30:$C$74,B173,初度設備!$K$30:$K$74)*((初度設備!$H$3-初度設備!$I$3)/初度設備!$H$3),0)</f>
        <v>0</v>
      </c>
      <c r="D173" s="306">
        <f t="shared" si="38"/>
        <v>0</v>
      </c>
      <c r="E173" s="305">
        <f>IFERROR(SUMIF(人工呼吸器!$C$30:$C$74,B173,人工呼吸器!$K$30:$K$74)*((人工呼吸器!$H$3-人工呼吸器!$I$3)/人工呼吸器!$H$3),0)</f>
        <v>0</v>
      </c>
      <c r="F173" s="306">
        <f t="shared" si="39"/>
        <v>0</v>
      </c>
      <c r="G173" s="306">
        <f t="shared" si="40"/>
        <v>0</v>
      </c>
      <c r="H173" s="306">
        <f t="shared" si="41"/>
        <v>0</v>
      </c>
      <c r="I173" s="305">
        <f>IFERROR(SUMIF(簡易陰圧装置!$C$30:$C$74,B173,簡易陰圧装置!$K$30:$K$74)*((簡易陰圧装置!$H$3-簡易陰圧装置!$I$3)/簡易陰圧装置!$H$3),0)</f>
        <v>0</v>
      </c>
      <c r="J173" s="306">
        <f t="shared" si="42"/>
        <v>0</v>
      </c>
      <c r="K173" s="305">
        <f>IFERROR(SUMIF(簡易ベッド!$C$30:$C$74,B173,簡易ベッド!$K$30:$K$74)*((簡易ベッド!$H$3-簡易ベッド!$I$3)/簡易ベッド!$H$3),0)</f>
        <v>0</v>
      </c>
      <c r="L173" s="306">
        <f t="shared" si="43"/>
        <v>0</v>
      </c>
      <c r="M173" s="305">
        <f>IFERROR(SUMIF(体外式膜型人工肺!$C$30:$C$74,B173,体外式膜型人工肺!$K$30:$K$74)*((体外式膜型人工肺!$H$3-体外式膜型人工肺!$I$3)/体外式膜型人工肺!$H$3),0)</f>
        <v>0</v>
      </c>
      <c r="N173" s="306">
        <f t="shared" si="44"/>
        <v>0</v>
      </c>
      <c r="O173" s="306">
        <f t="shared" si="45"/>
        <v>0</v>
      </c>
      <c r="P173" s="306">
        <f t="shared" si="46"/>
        <v>0</v>
      </c>
      <c r="Q173" s="305">
        <f>IFERROR(SUMIF(紫外線照射装置!$C$30:$C$74,B173,紫外線照射装置!$K$30:$K$74)*((紫外線照射装置!$H$3-紫外線照射装置!$I$3)/紫外線照射装置!$H$3),0)</f>
        <v>0</v>
      </c>
      <c r="R173" s="306">
        <f t="shared" si="47"/>
        <v>0</v>
      </c>
      <c r="S173" s="419">
        <f t="shared" si="48"/>
        <v>0</v>
      </c>
      <c r="T173" s="305">
        <f>IFERROR(SUMIF(超音波画像診断装置!$C$30:$C$74,B173,超音波画像診断装置!$K$30:$K$74)*((超音波画像診断装置!$H$3-超音波画像診断装置!$I$3)/超音波画像診断装置!$H$3),0)</f>
        <v>0</v>
      </c>
      <c r="U173" s="306">
        <f t="shared" si="49"/>
        <v>0</v>
      </c>
      <c r="V173" s="305">
        <f>IFERROR(SUMIF(血液浄化装置!$C$30:$C$74,B173,血液浄化装置!$K$30:$K$74)*((血液浄化装置!$H$3-血液浄化装置!$I$3)/血液浄化装置!$H$3),0)</f>
        <v>0</v>
      </c>
      <c r="W173" s="306">
        <f t="shared" si="50"/>
        <v>0</v>
      </c>
      <c r="X173" s="305">
        <f>IFERROR(SUMIF(気管支鏡!$C$30:$C$74,B173,気管支鏡!$K$30:$K$74)*((気管支鏡!$H$3-気管支鏡!$I$3)/気管支鏡!$H$3),0)</f>
        <v>0</v>
      </c>
      <c r="Y173" s="306">
        <f t="shared" si="36"/>
        <v>0</v>
      </c>
      <c r="Z173" s="305">
        <f>IFERROR(SUMIF(CT撮影装置!$C$30:$C$74,B173,CT撮影装置!$K$30:$K$74)*((CT撮影装置!$H$3-CT撮影装置!$I$3)/CT撮影装置!$H$3),0)</f>
        <v>0</v>
      </c>
      <c r="AA173" s="306">
        <f t="shared" si="51"/>
        <v>0</v>
      </c>
      <c r="AB173" s="305">
        <f>IFERROR(SUMIF(生体情報モニタ!$C$30:$C$74,B173,生体情報モニタ!$K$30:$K$74)*((生体情報モニタ!$H$3-生体情報モニタ!$I$3)/生体情報モニタ!$H$3),0)</f>
        <v>0</v>
      </c>
      <c r="AC173" s="306">
        <f t="shared" si="37"/>
        <v>0</v>
      </c>
      <c r="AD173" s="305">
        <f>IFERROR(SUMIF(分娩監視装置!$C$30:$C$74,B173,分娩監視装置!$K$30:$K$74)*((分娩監視装置!$H$3-分娩監視装置!$I$3)/分娩監視装置!$H$3),0)</f>
        <v>0</v>
      </c>
      <c r="AE173" s="306">
        <f t="shared" si="52"/>
        <v>0</v>
      </c>
      <c r="AF173" s="305">
        <f>IFERROR(SUMIF(新生児モニタ!$C$30:$C$74,B173,新生児モニタ!$K$30:$K$74)*((新生児モニタ!$H$3-新生児モニタ!$I$3)/新生児モニタ!$H$3),0)</f>
        <v>0</v>
      </c>
      <c r="AG173" s="306">
        <f t="shared" si="53"/>
        <v>0</v>
      </c>
    </row>
    <row r="174" spans="2:33">
      <c r="B174" s="283" t="s">
        <v>987</v>
      </c>
      <c r="C174" s="305">
        <f>IFERROR(SUMIF(初度設備!$C$30:$C$74,B174,初度設備!$K$30:$K$74)*((初度設備!$H$3-初度設備!$I$3)/初度設備!$H$3),0)</f>
        <v>0</v>
      </c>
      <c r="D174" s="306">
        <f t="shared" si="38"/>
        <v>0</v>
      </c>
      <c r="E174" s="305">
        <f>IFERROR(SUMIF(人工呼吸器!$C$30:$C$74,B174,人工呼吸器!$K$30:$K$74)*((人工呼吸器!$H$3-人工呼吸器!$I$3)/人工呼吸器!$H$3),0)</f>
        <v>0</v>
      </c>
      <c r="F174" s="306">
        <f t="shared" si="39"/>
        <v>0</v>
      </c>
      <c r="G174" s="306">
        <f t="shared" si="40"/>
        <v>0</v>
      </c>
      <c r="H174" s="306">
        <f t="shared" si="41"/>
        <v>0</v>
      </c>
      <c r="I174" s="305">
        <f>IFERROR(SUMIF(簡易陰圧装置!$C$30:$C$74,B174,簡易陰圧装置!$K$30:$K$74)*((簡易陰圧装置!$H$3-簡易陰圧装置!$I$3)/簡易陰圧装置!$H$3),0)</f>
        <v>0</v>
      </c>
      <c r="J174" s="306">
        <f t="shared" si="42"/>
        <v>0</v>
      </c>
      <c r="K174" s="305">
        <f>IFERROR(SUMIF(簡易ベッド!$C$30:$C$74,B174,簡易ベッド!$K$30:$K$74)*((簡易ベッド!$H$3-簡易ベッド!$I$3)/簡易ベッド!$H$3),0)</f>
        <v>0</v>
      </c>
      <c r="L174" s="306">
        <f t="shared" si="43"/>
        <v>0</v>
      </c>
      <c r="M174" s="305">
        <f>IFERROR(SUMIF(体外式膜型人工肺!$C$30:$C$74,B174,体外式膜型人工肺!$K$30:$K$74)*((体外式膜型人工肺!$H$3-体外式膜型人工肺!$I$3)/体外式膜型人工肺!$H$3),0)</f>
        <v>0</v>
      </c>
      <c r="N174" s="306">
        <f t="shared" si="44"/>
        <v>0</v>
      </c>
      <c r="O174" s="306">
        <f t="shared" si="45"/>
        <v>0</v>
      </c>
      <c r="P174" s="306">
        <f t="shared" si="46"/>
        <v>0</v>
      </c>
      <c r="Q174" s="305">
        <f>IFERROR(SUMIF(紫外線照射装置!$C$30:$C$74,B174,紫外線照射装置!$K$30:$K$74)*((紫外線照射装置!$H$3-紫外線照射装置!$I$3)/紫外線照射装置!$H$3),0)</f>
        <v>0</v>
      </c>
      <c r="R174" s="306">
        <f t="shared" si="47"/>
        <v>0</v>
      </c>
      <c r="S174" s="419">
        <f t="shared" si="48"/>
        <v>0</v>
      </c>
      <c r="T174" s="305">
        <f>IFERROR(SUMIF(超音波画像診断装置!$C$30:$C$74,B174,超音波画像診断装置!$K$30:$K$74)*((超音波画像診断装置!$H$3-超音波画像診断装置!$I$3)/超音波画像診断装置!$H$3),0)</f>
        <v>0</v>
      </c>
      <c r="U174" s="306">
        <f t="shared" si="49"/>
        <v>0</v>
      </c>
      <c r="V174" s="305">
        <f>IFERROR(SUMIF(血液浄化装置!$C$30:$C$74,B174,血液浄化装置!$K$30:$K$74)*((血液浄化装置!$H$3-血液浄化装置!$I$3)/血液浄化装置!$H$3),0)</f>
        <v>0</v>
      </c>
      <c r="W174" s="306">
        <f t="shared" si="50"/>
        <v>0</v>
      </c>
      <c r="X174" s="305">
        <f>IFERROR(SUMIF(気管支鏡!$C$30:$C$74,B174,気管支鏡!$K$30:$K$74)*((気管支鏡!$H$3-気管支鏡!$I$3)/気管支鏡!$H$3),0)</f>
        <v>0</v>
      </c>
      <c r="Y174" s="306">
        <f t="shared" si="36"/>
        <v>0</v>
      </c>
      <c r="Z174" s="305">
        <f>IFERROR(SUMIF(CT撮影装置!$C$30:$C$74,B174,CT撮影装置!$K$30:$K$74)*((CT撮影装置!$H$3-CT撮影装置!$I$3)/CT撮影装置!$H$3),0)</f>
        <v>0</v>
      </c>
      <c r="AA174" s="306">
        <f t="shared" si="51"/>
        <v>0</v>
      </c>
      <c r="AB174" s="305">
        <f>IFERROR(SUMIF(生体情報モニタ!$C$30:$C$74,B174,生体情報モニタ!$K$30:$K$74)*((生体情報モニタ!$H$3-生体情報モニタ!$I$3)/生体情報モニタ!$H$3),0)</f>
        <v>0</v>
      </c>
      <c r="AC174" s="306">
        <f t="shared" si="37"/>
        <v>0</v>
      </c>
      <c r="AD174" s="305">
        <f>IFERROR(SUMIF(分娩監視装置!$C$30:$C$74,B174,分娩監視装置!$K$30:$K$74)*((分娩監視装置!$H$3-分娩監視装置!$I$3)/分娩監視装置!$H$3),0)</f>
        <v>0</v>
      </c>
      <c r="AE174" s="306">
        <f t="shared" si="52"/>
        <v>0</v>
      </c>
      <c r="AF174" s="305">
        <f>IFERROR(SUMIF(新生児モニタ!$C$30:$C$74,B174,新生児モニタ!$K$30:$K$74)*((新生児モニタ!$H$3-新生児モニタ!$I$3)/新生児モニタ!$H$3),0)</f>
        <v>0</v>
      </c>
      <c r="AG174" s="306">
        <f t="shared" si="53"/>
        <v>0</v>
      </c>
    </row>
    <row r="175" spans="2:33">
      <c r="B175" s="283" t="s">
        <v>988</v>
      </c>
      <c r="C175" s="305">
        <f>IFERROR(SUMIF(初度設備!$C$30:$C$74,B175,初度設備!$K$30:$K$74)*((初度設備!$H$3-初度設備!$I$3)/初度設備!$H$3),0)</f>
        <v>0</v>
      </c>
      <c r="D175" s="306">
        <f t="shared" si="38"/>
        <v>0</v>
      </c>
      <c r="E175" s="305">
        <f>IFERROR(SUMIF(人工呼吸器!$C$30:$C$74,B175,人工呼吸器!$K$30:$K$74)*((人工呼吸器!$H$3-人工呼吸器!$I$3)/人工呼吸器!$H$3),0)</f>
        <v>0</v>
      </c>
      <c r="F175" s="306">
        <f t="shared" si="39"/>
        <v>0</v>
      </c>
      <c r="G175" s="306">
        <f t="shared" si="40"/>
        <v>0</v>
      </c>
      <c r="H175" s="306">
        <f t="shared" si="41"/>
        <v>0</v>
      </c>
      <c r="I175" s="305">
        <f>IFERROR(SUMIF(簡易陰圧装置!$C$30:$C$74,B175,簡易陰圧装置!$K$30:$K$74)*((簡易陰圧装置!$H$3-簡易陰圧装置!$I$3)/簡易陰圧装置!$H$3),0)</f>
        <v>0</v>
      </c>
      <c r="J175" s="306">
        <f t="shared" si="42"/>
        <v>0</v>
      </c>
      <c r="K175" s="305">
        <f>IFERROR(SUMIF(簡易ベッド!$C$30:$C$74,B175,簡易ベッド!$K$30:$K$74)*((簡易ベッド!$H$3-簡易ベッド!$I$3)/簡易ベッド!$H$3),0)</f>
        <v>0</v>
      </c>
      <c r="L175" s="306">
        <f t="shared" si="43"/>
        <v>0</v>
      </c>
      <c r="M175" s="305">
        <f>IFERROR(SUMIF(体外式膜型人工肺!$C$30:$C$74,B175,体外式膜型人工肺!$K$30:$K$74)*((体外式膜型人工肺!$H$3-体外式膜型人工肺!$I$3)/体外式膜型人工肺!$H$3),0)</f>
        <v>0</v>
      </c>
      <c r="N175" s="306">
        <f t="shared" si="44"/>
        <v>0</v>
      </c>
      <c r="O175" s="306">
        <f t="shared" si="45"/>
        <v>0</v>
      </c>
      <c r="P175" s="306">
        <f t="shared" si="46"/>
        <v>0</v>
      </c>
      <c r="Q175" s="305">
        <f>IFERROR(SUMIF(紫外線照射装置!$C$30:$C$74,B175,紫外線照射装置!$K$30:$K$74)*((紫外線照射装置!$H$3-紫外線照射装置!$I$3)/紫外線照射装置!$H$3),0)</f>
        <v>0</v>
      </c>
      <c r="R175" s="306">
        <f t="shared" si="47"/>
        <v>0</v>
      </c>
      <c r="S175" s="419">
        <f t="shared" si="48"/>
        <v>0</v>
      </c>
      <c r="T175" s="305">
        <f>IFERROR(SUMIF(超音波画像診断装置!$C$30:$C$74,B175,超音波画像診断装置!$K$30:$K$74)*((超音波画像診断装置!$H$3-超音波画像診断装置!$I$3)/超音波画像診断装置!$H$3),0)</f>
        <v>0</v>
      </c>
      <c r="U175" s="306">
        <f t="shared" si="49"/>
        <v>0</v>
      </c>
      <c r="V175" s="305">
        <f>IFERROR(SUMIF(血液浄化装置!$C$30:$C$74,B175,血液浄化装置!$K$30:$K$74)*((血液浄化装置!$H$3-血液浄化装置!$I$3)/血液浄化装置!$H$3),0)</f>
        <v>0</v>
      </c>
      <c r="W175" s="306">
        <f t="shared" si="50"/>
        <v>0</v>
      </c>
      <c r="X175" s="305">
        <f>IFERROR(SUMIF(気管支鏡!$C$30:$C$74,B175,気管支鏡!$K$30:$K$74)*((気管支鏡!$H$3-気管支鏡!$I$3)/気管支鏡!$H$3),0)</f>
        <v>0</v>
      </c>
      <c r="Y175" s="306">
        <f t="shared" si="36"/>
        <v>0</v>
      </c>
      <c r="Z175" s="305">
        <f>IFERROR(SUMIF(CT撮影装置!$C$30:$C$74,B175,CT撮影装置!$K$30:$K$74)*((CT撮影装置!$H$3-CT撮影装置!$I$3)/CT撮影装置!$H$3),0)</f>
        <v>0</v>
      </c>
      <c r="AA175" s="306">
        <f t="shared" si="51"/>
        <v>0</v>
      </c>
      <c r="AB175" s="305">
        <f>IFERROR(SUMIF(生体情報モニタ!$C$30:$C$74,B175,生体情報モニタ!$K$30:$K$74)*((生体情報モニタ!$H$3-生体情報モニタ!$I$3)/生体情報モニタ!$H$3),0)</f>
        <v>0</v>
      </c>
      <c r="AC175" s="306">
        <f t="shared" si="37"/>
        <v>0</v>
      </c>
      <c r="AD175" s="305">
        <f>IFERROR(SUMIF(分娩監視装置!$C$30:$C$74,B175,分娩監視装置!$K$30:$K$74)*((分娩監視装置!$H$3-分娩監視装置!$I$3)/分娩監視装置!$H$3),0)</f>
        <v>0</v>
      </c>
      <c r="AE175" s="306">
        <f t="shared" si="52"/>
        <v>0</v>
      </c>
      <c r="AF175" s="305">
        <f>IFERROR(SUMIF(新生児モニタ!$C$30:$C$74,B175,新生児モニタ!$K$30:$K$74)*((新生児モニタ!$H$3-新生児モニタ!$I$3)/新生児モニタ!$H$3),0)</f>
        <v>0</v>
      </c>
      <c r="AG175" s="306">
        <f t="shared" si="53"/>
        <v>0</v>
      </c>
    </row>
    <row r="176" spans="2:33">
      <c r="B176" s="283" t="s">
        <v>989</v>
      </c>
      <c r="C176" s="305">
        <f>IFERROR(SUMIF(初度設備!$C$30:$C$74,B176,初度設備!$K$30:$K$74)*((初度設備!$H$3-初度設備!$I$3)/初度設備!$H$3),0)</f>
        <v>0</v>
      </c>
      <c r="D176" s="306">
        <f t="shared" si="38"/>
        <v>0</v>
      </c>
      <c r="E176" s="305">
        <f>IFERROR(SUMIF(人工呼吸器!$C$30:$C$74,B176,人工呼吸器!$K$30:$K$74)*((人工呼吸器!$H$3-人工呼吸器!$I$3)/人工呼吸器!$H$3),0)</f>
        <v>0</v>
      </c>
      <c r="F176" s="306">
        <f t="shared" si="39"/>
        <v>0</v>
      </c>
      <c r="G176" s="306">
        <f t="shared" si="40"/>
        <v>0</v>
      </c>
      <c r="H176" s="306">
        <f t="shared" si="41"/>
        <v>0</v>
      </c>
      <c r="I176" s="305">
        <f>IFERROR(SUMIF(簡易陰圧装置!$C$30:$C$74,B176,簡易陰圧装置!$K$30:$K$74)*((簡易陰圧装置!$H$3-簡易陰圧装置!$I$3)/簡易陰圧装置!$H$3),0)</f>
        <v>0</v>
      </c>
      <c r="J176" s="306">
        <f t="shared" si="42"/>
        <v>0</v>
      </c>
      <c r="K176" s="305">
        <f>IFERROR(SUMIF(簡易ベッド!$C$30:$C$74,B176,簡易ベッド!$K$30:$K$74)*((簡易ベッド!$H$3-簡易ベッド!$I$3)/簡易ベッド!$H$3),0)</f>
        <v>0</v>
      </c>
      <c r="L176" s="306">
        <f t="shared" si="43"/>
        <v>0</v>
      </c>
      <c r="M176" s="305">
        <f>IFERROR(SUMIF(体外式膜型人工肺!$C$30:$C$74,B176,体外式膜型人工肺!$K$30:$K$74)*((体外式膜型人工肺!$H$3-体外式膜型人工肺!$I$3)/体外式膜型人工肺!$H$3),0)</f>
        <v>0</v>
      </c>
      <c r="N176" s="306">
        <f t="shared" si="44"/>
        <v>0</v>
      </c>
      <c r="O176" s="306">
        <f t="shared" si="45"/>
        <v>0</v>
      </c>
      <c r="P176" s="306">
        <f t="shared" si="46"/>
        <v>0</v>
      </c>
      <c r="Q176" s="305">
        <f>IFERROR(SUMIF(紫外線照射装置!$C$30:$C$74,B176,紫外線照射装置!$K$30:$K$74)*((紫外線照射装置!$H$3-紫外線照射装置!$I$3)/紫外線照射装置!$H$3),0)</f>
        <v>0</v>
      </c>
      <c r="R176" s="306">
        <f t="shared" si="47"/>
        <v>0</v>
      </c>
      <c r="S176" s="419">
        <f t="shared" si="48"/>
        <v>0</v>
      </c>
      <c r="T176" s="305">
        <f>IFERROR(SUMIF(超音波画像診断装置!$C$30:$C$74,B176,超音波画像診断装置!$K$30:$K$74)*((超音波画像診断装置!$H$3-超音波画像診断装置!$I$3)/超音波画像診断装置!$H$3),0)</f>
        <v>0</v>
      </c>
      <c r="U176" s="306">
        <f t="shared" si="49"/>
        <v>0</v>
      </c>
      <c r="V176" s="305">
        <f>IFERROR(SUMIF(血液浄化装置!$C$30:$C$74,B176,血液浄化装置!$K$30:$K$74)*((血液浄化装置!$H$3-血液浄化装置!$I$3)/血液浄化装置!$H$3),0)</f>
        <v>0</v>
      </c>
      <c r="W176" s="306">
        <f t="shared" si="50"/>
        <v>0</v>
      </c>
      <c r="X176" s="305">
        <f>IFERROR(SUMIF(気管支鏡!$C$30:$C$74,B176,気管支鏡!$K$30:$K$74)*((気管支鏡!$H$3-気管支鏡!$I$3)/気管支鏡!$H$3),0)</f>
        <v>0</v>
      </c>
      <c r="Y176" s="306">
        <f t="shared" si="36"/>
        <v>0</v>
      </c>
      <c r="Z176" s="305">
        <f>IFERROR(SUMIF(CT撮影装置!$C$30:$C$74,B176,CT撮影装置!$K$30:$K$74)*((CT撮影装置!$H$3-CT撮影装置!$I$3)/CT撮影装置!$H$3),0)</f>
        <v>0</v>
      </c>
      <c r="AA176" s="306">
        <f t="shared" si="51"/>
        <v>0</v>
      </c>
      <c r="AB176" s="305">
        <f>IFERROR(SUMIF(生体情報モニタ!$C$30:$C$74,B176,生体情報モニタ!$K$30:$K$74)*((生体情報モニタ!$H$3-生体情報モニタ!$I$3)/生体情報モニタ!$H$3),0)</f>
        <v>0</v>
      </c>
      <c r="AC176" s="306">
        <f t="shared" si="37"/>
        <v>0</v>
      </c>
      <c r="AD176" s="305">
        <f>IFERROR(SUMIF(分娩監視装置!$C$30:$C$74,B176,分娩監視装置!$K$30:$K$74)*((分娩監視装置!$H$3-分娩監視装置!$I$3)/分娩監視装置!$H$3),0)</f>
        <v>0</v>
      </c>
      <c r="AE176" s="306">
        <f t="shared" si="52"/>
        <v>0</v>
      </c>
      <c r="AF176" s="305">
        <f>IFERROR(SUMIF(新生児モニタ!$C$30:$C$74,B176,新生児モニタ!$K$30:$K$74)*((新生児モニタ!$H$3-新生児モニタ!$I$3)/新生児モニタ!$H$3),0)</f>
        <v>0</v>
      </c>
      <c r="AG176" s="306">
        <f t="shared" si="53"/>
        <v>0</v>
      </c>
    </row>
    <row r="177" spans="2:33">
      <c r="B177" s="283" t="s">
        <v>990</v>
      </c>
      <c r="C177" s="305">
        <f>IFERROR(SUMIF(初度設備!$C$30:$C$74,B177,初度設備!$K$30:$K$74)*((初度設備!$H$3-初度設備!$I$3)/初度設備!$H$3),0)</f>
        <v>0</v>
      </c>
      <c r="D177" s="306">
        <f t="shared" si="38"/>
        <v>0</v>
      </c>
      <c r="E177" s="305">
        <f>IFERROR(SUMIF(人工呼吸器!$C$30:$C$74,B177,人工呼吸器!$K$30:$K$74)*((人工呼吸器!$H$3-人工呼吸器!$I$3)/人工呼吸器!$H$3),0)</f>
        <v>0</v>
      </c>
      <c r="F177" s="306">
        <f t="shared" si="39"/>
        <v>0</v>
      </c>
      <c r="G177" s="306">
        <f t="shared" si="40"/>
        <v>0</v>
      </c>
      <c r="H177" s="306">
        <f t="shared" si="41"/>
        <v>0</v>
      </c>
      <c r="I177" s="305">
        <f>IFERROR(SUMIF(簡易陰圧装置!$C$30:$C$74,B177,簡易陰圧装置!$K$30:$K$74)*((簡易陰圧装置!$H$3-簡易陰圧装置!$I$3)/簡易陰圧装置!$H$3),0)</f>
        <v>0</v>
      </c>
      <c r="J177" s="306">
        <f t="shared" si="42"/>
        <v>0</v>
      </c>
      <c r="K177" s="305">
        <f>IFERROR(SUMIF(簡易ベッド!$C$30:$C$74,B177,簡易ベッド!$K$30:$K$74)*((簡易ベッド!$H$3-簡易ベッド!$I$3)/簡易ベッド!$H$3),0)</f>
        <v>0</v>
      </c>
      <c r="L177" s="306">
        <f t="shared" si="43"/>
        <v>0</v>
      </c>
      <c r="M177" s="305">
        <f>IFERROR(SUMIF(体外式膜型人工肺!$C$30:$C$74,B177,体外式膜型人工肺!$K$30:$K$74)*((体外式膜型人工肺!$H$3-体外式膜型人工肺!$I$3)/体外式膜型人工肺!$H$3),0)</f>
        <v>0</v>
      </c>
      <c r="N177" s="306">
        <f t="shared" si="44"/>
        <v>0</v>
      </c>
      <c r="O177" s="306">
        <f t="shared" si="45"/>
        <v>0</v>
      </c>
      <c r="P177" s="306">
        <f t="shared" si="46"/>
        <v>0</v>
      </c>
      <c r="Q177" s="305">
        <f>IFERROR(SUMIF(紫外線照射装置!$C$30:$C$74,B177,紫外線照射装置!$K$30:$K$74)*((紫外線照射装置!$H$3-紫外線照射装置!$I$3)/紫外線照射装置!$H$3),0)</f>
        <v>0</v>
      </c>
      <c r="R177" s="306">
        <f t="shared" si="47"/>
        <v>0</v>
      </c>
      <c r="S177" s="419">
        <f t="shared" si="48"/>
        <v>0</v>
      </c>
      <c r="T177" s="305">
        <f>IFERROR(SUMIF(超音波画像診断装置!$C$30:$C$74,B177,超音波画像診断装置!$K$30:$K$74)*((超音波画像診断装置!$H$3-超音波画像診断装置!$I$3)/超音波画像診断装置!$H$3),0)</f>
        <v>0</v>
      </c>
      <c r="U177" s="306">
        <f t="shared" si="49"/>
        <v>0</v>
      </c>
      <c r="V177" s="305">
        <f>IFERROR(SUMIF(血液浄化装置!$C$30:$C$74,B177,血液浄化装置!$K$30:$K$74)*((血液浄化装置!$H$3-血液浄化装置!$I$3)/血液浄化装置!$H$3),0)</f>
        <v>0</v>
      </c>
      <c r="W177" s="306">
        <f t="shared" si="50"/>
        <v>0</v>
      </c>
      <c r="X177" s="305">
        <f>IFERROR(SUMIF(気管支鏡!$C$30:$C$74,B177,気管支鏡!$K$30:$K$74)*((気管支鏡!$H$3-気管支鏡!$I$3)/気管支鏡!$H$3),0)</f>
        <v>0</v>
      </c>
      <c r="Y177" s="306">
        <f t="shared" si="36"/>
        <v>0</v>
      </c>
      <c r="Z177" s="305">
        <f>IFERROR(SUMIF(CT撮影装置!$C$30:$C$74,B177,CT撮影装置!$K$30:$K$74)*((CT撮影装置!$H$3-CT撮影装置!$I$3)/CT撮影装置!$H$3),0)</f>
        <v>0</v>
      </c>
      <c r="AA177" s="306">
        <f t="shared" si="51"/>
        <v>0</v>
      </c>
      <c r="AB177" s="305">
        <f>IFERROR(SUMIF(生体情報モニタ!$C$30:$C$74,B177,生体情報モニタ!$K$30:$K$74)*((生体情報モニタ!$H$3-生体情報モニタ!$I$3)/生体情報モニタ!$H$3),0)</f>
        <v>0</v>
      </c>
      <c r="AC177" s="306">
        <f t="shared" si="37"/>
        <v>0</v>
      </c>
      <c r="AD177" s="305">
        <f>IFERROR(SUMIF(分娩監視装置!$C$30:$C$74,B177,分娩監視装置!$K$30:$K$74)*((分娩監視装置!$H$3-分娩監視装置!$I$3)/分娩監視装置!$H$3),0)</f>
        <v>0</v>
      </c>
      <c r="AE177" s="306">
        <f t="shared" si="52"/>
        <v>0</v>
      </c>
      <c r="AF177" s="305">
        <f>IFERROR(SUMIF(新生児モニタ!$C$30:$C$74,B177,新生児モニタ!$K$30:$K$74)*((新生児モニタ!$H$3-新生児モニタ!$I$3)/新生児モニタ!$H$3),0)</f>
        <v>0</v>
      </c>
      <c r="AG177" s="306">
        <f t="shared" si="53"/>
        <v>0</v>
      </c>
    </row>
    <row r="178" spans="2:33">
      <c r="B178" s="283" t="s">
        <v>991</v>
      </c>
      <c r="C178" s="305">
        <f>IFERROR(SUMIF(初度設備!$C$30:$C$74,B178,初度設備!$K$30:$K$74)*((初度設備!$H$3-初度設備!$I$3)/初度設備!$H$3),0)</f>
        <v>0</v>
      </c>
      <c r="D178" s="306">
        <f t="shared" si="38"/>
        <v>0</v>
      </c>
      <c r="E178" s="305">
        <f>IFERROR(SUMIF(人工呼吸器!$C$30:$C$74,B178,人工呼吸器!$K$30:$K$74)*((人工呼吸器!$H$3-人工呼吸器!$I$3)/人工呼吸器!$H$3),0)</f>
        <v>0</v>
      </c>
      <c r="F178" s="306">
        <f t="shared" si="39"/>
        <v>0</v>
      </c>
      <c r="G178" s="306">
        <f t="shared" si="40"/>
        <v>0</v>
      </c>
      <c r="H178" s="306">
        <f t="shared" si="41"/>
        <v>0</v>
      </c>
      <c r="I178" s="305">
        <f>IFERROR(SUMIF(簡易陰圧装置!$C$30:$C$74,B178,簡易陰圧装置!$K$30:$K$74)*((簡易陰圧装置!$H$3-簡易陰圧装置!$I$3)/簡易陰圧装置!$H$3),0)</f>
        <v>0</v>
      </c>
      <c r="J178" s="306">
        <f t="shared" si="42"/>
        <v>0</v>
      </c>
      <c r="K178" s="305">
        <f>IFERROR(SUMIF(簡易ベッド!$C$30:$C$74,B178,簡易ベッド!$K$30:$K$74)*((簡易ベッド!$H$3-簡易ベッド!$I$3)/簡易ベッド!$H$3),0)</f>
        <v>0</v>
      </c>
      <c r="L178" s="306">
        <f t="shared" si="43"/>
        <v>0</v>
      </c>
      <c r="M178" s="305">
        <f>IFERROR(SUMIF(体外式膜型人工肺!$C$30:$C$74,B178,体外式膜型人工肺!$K$30:$K$74)*((体外式膜型人工肺!$H$3-体外式膜型人工肺!$I$3)/体外式膜型人工肺!$H$3),0)</f>
        <v>0</v>
      </c>
      <c r="N178" s="306">
        <f t="shared" si="44"/>
        <v>0</v>
      </c>
      <c r="O178" s="306">
        <f t="shared" si="45"/>
        <v>0</v>
      </c>
      <c r="P178" s="306">
        <f t="shared" si="46"/>
        <v>0</v>
      </c>
      <c r="Q178" s="305">
        <f>IFERROR(SUMIF(紫外線照射装置!$C$30:$C$74,B178,紫外線照射装置!$K$30:$K$74)*((紫外線照射装置!$H$3-紫外線照射装置!$I$3)/紫外線照射装置!$H$3),0)</f>
        <v>0</v>
      </c>
      <c r="R178" s="306">
        <f t="shared" si="47"/>
        <v>0</v>
      </c>
      <c r="S178" s="419">
        <f t="shared" si="48"/>
        <v>0</v>
      </c>
      <c r="T178" s="305">
        <f>IFERROR(SUMIF(超音波画像診断装置!$C$30:$C$74,B178,超音波画像診断装置!$K$30:$K$74)*((超音波画像診断装置!$H$3-超音波画像診断装置!$I$3)/超音波画像診断装置!$H$3),0)</f>
        <v>0</v>
      </c>
      <c r="U178" s="306">
        <f t="shared" si="49"/>
        <v>0</v>
      </c>
      <c r="V178" s="305">
        <f>IFERROR(SUMIF(血液浄化装置!$C$30:$C$74,B178,血液浄化装置!$K$30:$K$74)*((血液浄化装置!$H$3-血液浄化装置!$I$3)/血液浄化装置!$H$3),0)</f>
        <v>0</v>
      </c>
      <c r="W178" s="306">
        <f t="shared" si="50"/>
        <v>0</v>
      </c>
      <c r="X178" s="305">
        <f>IFERROR(SUMIF(気管支鏡!$C$30:$C$74,B178,気管支鏡!$K$30:$K$74)*((気管支鏡!$H$3-気管支鏡!$I$3)/気管支鏡!$H$3),0)</f>
        <v>0</v>
      </c>
      <c r="Y178" s="306">
        <f t="shared" si="36"/>
        <v>0</v>
      </c>
      <c r="Z178" s="305">
        <f>IFERROR(SUMIF(CT撮影装置!$C$30:$C$74,B178,CT撮影装置!$K$30:$K$74)*((CT撮影装置!$H$3-CT撮影装置!$I$3)/CT撮影装置!$H$3),0)</f>
        <v>0</v>
      </c>
      <c r="AA178" s="306">
        <f t="shared" si="51"/>
        <v>0</v>
      </c>
      <c r="AB178" s="305">
        <f>IFERROR(SUMIF(生体情報モニタ!$C$30:$C$74,B178,生体情報モニタ!$K$30:$K$74)*((生体情報モニタ!$H$3-生体情報モニタ!$I$3)/生体情報モニタ!$H$3),0)</f>
        <v>0</v>
      </c>
      <c r="AC178" s="306">
        <f t="shared" si="37"/>
        <v>0</v>
      </c>
      <c r="AD178" s="305">
        <f>IFERROR(SUMIF(分娩監視装置!$C$30:$C$74,B178,分娩監視装置!$K$30:$K$74)*((分娩監視装置!$H$3-分娩監視装置!$I$3)/分娩監視装置!$H$3),0)</f>
        <v>0</v>
      </c>
      <c r="AE178" s="306">
        <f t="shared" si="52"/>
        <v>0</v>
      </c>
      <c r="AF178" s="305">
        <f>IFERROR(SUMIF(新生児モニタ!$C$30:$C$74,B178,新生児モニタ!$K$30:$K$74)*((新生児モニタ!$H$3-新生児モニタ!$I$3)/新生児モニタ!$H$3),0)</f>
        <v>0</v>
      </c>
      <c r="AG178" s="306">
        <f t="shared" si="53"/>
        <v>0</v>
      </c>
    </row>
    <row r="179" spans="2:33">
      <c r="B179" s="283" t="s">
        <v>992</v>
      </c>
      <c r="C179" s="305">
        <f>IFERROR(SUMIF(初度設備!$C$30:$C$74,B179,初度設備!$K$30:$K$74)*((初度設備!$H$3-初度設備!$I$3)/初度設備!$H$3),0)</f>
        <v>0</v>
      </c>
      <c r="D179" s="306">
        <f t="shared" si="38"/>
        <v>0</v>
      </c>
      <c r="E179" s="305">
        <f>IFERROR(SUMIF(人工呼吸器!$C$30:$C$74,B179,人工呼吸器!$K$30:$K$74)*((人工呼吸器!$H$3-人工呼吸器!$I$3)/人工呼吸器!$H$3),0)</f>
        <v>0</v>
      </c>
      <c r="F179" s="306">
        <f t="shared" si="39"/>
        <v>0</v>
      </c>
      <c r="G179" s="306">
        <f t="shared" si="40"/>
        <v>0</v>
      </c>
      <c r="H179" s="306">
        <f t="shared" si="41"/>
        <v>0</v>
      </c>
      <c r="I179" s="305">
        <f>IFERROR(SUMIF(簡易陰圧装置!$C$30:$C$74,B179,簡易陰圧装置!$K$30:$K$74)*((簡易陰圧装置!$H$3-簡易陰圧装置!$I$3)/簡易陰圧装置!$H$3),0)</f>
        <v>0</v>
      </c>
      <c r="J179" s="306">
        <f t="shared" si="42"/>
        <v>0</v>
      </c>
      <c r="K179" s="305">
        <f>IFERROR(SUMIF(簡易ベッド!$C$30:$C$74,B179,簡易ベッド!$K$30:$K$74)*((簡易ベッド!$H$3-簡易ベッド!$I$3)/簡易ベッド!$H$3),0)</f>
        <v>0</v>
      </c>
      <c r="L179" s="306">
        <f t="shared" si="43"/>
        <v>0</v>
      </c>
      <c r="M179" s="305">
        <f>IFERROR(SUMIF(体外式膜型人工肺!$C$30:$C$74,B179,体外式膜型人工肺!$K$30:$K$74)*((体外式膜型人工肺!$H$3-体外式膜型人工肺!$I$3)/体外式膜型人工肺!$H$3),0)</f>
        <v>0</v>
      </c>
      <c r="N179" s="306">
        <f t="shared" si="44"/>
        <v>0</v>
      </c>
      <c r="O179" s="306">
        <f t="shared" si="45"/>
        <v>0</v>
      </c>
      <c r="P179" s="306">
        <f t="shared" si="46"/>
        <v>0</v>
      </c>
      <c r="Q179" s="305">
        <f>IFERROR(SUMIF(紫外線照射装置!$C$30:$C$74,B179,紫外線照射装置!$K$30:$K$74)*((紫外線照射装置!$H$3-紫外線照射装置!$I$3)/紫外線照射装置!$H$3),0)</f>
        <v>0</v>
      </c>
      <c r="R179" s="306">
        <f t="shared" si="47"/>
        <v>0</v>
      </c>
      <c r="S179" s="419">
        <f t="shared" si="48"/>
        <v>0</v>
      </c>
      <c r="T179" s="305">
        <f>IFERROR(SUMIF(超音波画像診断装置!$C$30:$C$74,B179,超音波画像診断装置!$K$30:$K$74)*((超音波画像診断装置!$H$3-超音波画像診断装置!$I$3)/超音波画像診断装置!$H$3),0)</f>
        <v>0</v>
      </c>
      <c r="U179" s="306">
        <f t="shared" si="49"/>
        <v>0</v>
      </c>
      <c r="V179" s="305">
        <f>IFERROR(SUMIF(血液浄化装置!$C$30:$C$74,B179,血液浄化装置!$K$30:$K$74)*((血液浄化装置!$H$3-血液浄化装置!$I$3)/血液浄化装置!$H$3),0)</f>
        <v>0</v>
      </c>
      <c r="W179" s="306">
        <f t="shared" si="50"/>
        <v>0</v>
      </c>
      <c r="X179" s="305">
        <f>IFERROR(SUMIF(気管支鏡!$C$30:$C$74,B179,気管支鏡!$K$30:$K$74)*((気管支鏡!$H$3-気管支鏡!$I$3)/気管支鏡!$H$3),0)</f>
        <v>0</v>
      </c>
      <c r="Y179" s="306">
        <f t="shared" si="36"/>
        <v>0</v>
      </c>
      <c r="Z179" s="305">
        <f>IFERROR(SUMIF(CT撮影装置!$C$30:$C$74,B179,CT撮影装置!$K$30:$K$74)*((CT撮影装置!$H$3-CT撮影装置!$I$3)/CT撮影装置!$H$3),0)</f>
        <v>0</v>
      </c>
      <c r="AA179" s="306">
        <f t="shared" si="51"/>
        <v>0</v>
      </c>
      <c r="AB179" s="305">
        <f>IFERROR(SUMIF(生体情報モニタ!$C$30:$C$74,B179,生体情報モニタ!$K$30:$K$74)*((生体情報モニタ!$H$3-生体情報モニタ!$I$3)/生体情報モニタ!$H$3),0)</f>
        <v>0</v>
      </c>
      <c r="AC179" s="306">
        <f t="shared" si="37"/>
        <v>0</v>
      </c>
      <c r="AD179" s="305">
        <f>IFERROR(SUMIF(分娩監視装置!$C$30:$C$74,B179,分娩監視装置!$K$30:$K$74)*((分娩監視装置!$H$3-分娩監視装置!$I$3)/分娩監視装置!$H$3),0)</f>
        <v>0</v>
      </c>
      <c r="AE179" s="306">
        <f t="shared" si="52"/>
        <v>0</v>
      </c>
      <c r="AF179" s="305">
        <f>IFERROR(SUMIF(新生児モニタ!$C$30:$C$74,B179,新生児モニタ!$K$30:$K$74)*((新生児モニタ!$H$3-新生児モニタ!$I$3)/新生児モニタ!$H$3),0)</f>
        <v>0</v>
      </c>
      <c r="AG179" s="306">
        <f t="shared" si="53"/>
        <v>0</v>
      </c>
    </row>
    <row r="180" spans="2:33">
      <c r="B180" s="283" t="s">
        <v>993</v>
      </c>
      <c r="C180" s="305">
        <f>IFERROR(SUMIF(初度設備!$C$30:$C$74,B180,初度設備!$K$30:$K$74)*((初度設備!$H$3-初度設備!$I$3)/初度設備!$H$3),0)</f>
        <v>0</v>
      </c>
      <c r="D180" s="306">
        <f t="shared" si="38"/>
        <v>0</v>
      </c>
      <c r="E180" s="305">
        <f>IFERROR(SUMIF(人工呼吸器!$C$30:$C$74,B180,人工呼吸器!$K$30:$K$74)*((人工呼吸器!$H$3-人工呼吸器!$I$3)/人工呼吸器!$H$3),0)</f>
        <v>0</v>
      </c>
      <c r="F180" s="306">
        <f t="shared" si="39"/>
        <v>0</v>
      </c>
      <c r="G180" s="306">
        <f t="shared" si="40"/>
        <v>0</v>
      </c>
      <c r="H180" s="306">
        <f t="shared" si="41"/>
        <v>0</v>
      </c>
      <c r="I180" s="305">
        <f>IFERROR(SUMIF(簡易陰圧装置!$C$30:$C$74,B180,簡易陰圧装置!$K$30:$K$74)*((簡易陰圧装置!$H$3-簡易陰圧装置!$I$3)/簡易陰圧装置!$H$3),0)</f>
        <v>0</v>
      </c>
      <c r="J180" s="306">
        <f t="shared" si="42"/>
        <v>0</v>
      </c>
      <c r="K180" s="305">
        <f>IFERROR(SUMIF(簡易ベッド!$C$30:$C$74,B180,簡易ベッド!$K$30:$K$74)*((簡易ベッド!$H$3-簡易ベッド!$I$3)/簡易ベッド!$H$3),0)</f>
        <v>0</v>
      </c>
      <c r="L180" s="306">
        <f t="shared" si="43"/>
        <v>0</v>
      </c>
      <c r="M180" s="305">
        <f>IFERROR(SUMIF(体外式膜型人工肺!$C$30:$C$74,B180,体外式膜型人工肺!$K$30:$K$74)*((体外式膜型人工肺!$H$3-体外式膜型人工肺!$I$3)/体外式膜型人工肺!$H$3),0)</f>
        <v>0</v>
      </c>
      <c r="N180" s="306">
        <f t="shared" si="44"/>
        <v>0</v>
      </c>
      <c r="O180" s="306">
        <f t="shared" si="45"/>
        <v>0</v>
      </c>
      <c r="P180" s="306">
        <f t="shared" si="46"/>
        <v>0</v>
      </c>
      <c r="Q180" s="305">
        <f>IFERROR(SUMIF(紫外線照射装置!$C$30:$C$74,B180,紫外線照射装置!$K$30:$K$74)*((紫外線照射装置!$H$3-紫外線照射装置!$I$3)/紫外線照射装置!$H$3),0)</f>
        <v>0</v>
      </c>
      <c r="R180" s="306">
        <f t="shared" si="47"/>
        <v>0</v>
      </c>
      <c r="S180" s="419">
        <f t="shared" si="48"/>
        <v>0</v>
      </c>
      <c r="T180" s="305">
        <f>IFERROR(SUMIF(超音波画像診断装置!$C$30:$C$74,B180,超音波画像診断装置!$K$30:$K$74)*((超音波画像診断装置!$H$3-超音波画像診断装置!$I$3)/超音波画像診断装置!$H$3),0)</f>
        <v>0</v>
      </c>
      <c r="U180" s="306">
        <f t="shared" si="49"/>
        <v>0</v>
      </c>
      <c r="V180" s="305">
        <f>IFERROR(SUMIF(血液浄化装置!$C$30:$C$74,B180,血液浄化装置!$K$30:$K$74)*((血液浄化装置!$H$3-血液浄化装置!$I$3)/血液浄化装置!$H$3),0)</f>
        <v>0</v>
      </c>
      <c r="W180" s="306">
        <f t="shared" si="50"/>
        <v>0</v>
      </c>
      <c r="X180" s="305">
        <f>IFERROR(SUMIF(気管支鏡!$C$30:$C$74,B180,気管支鏡!$K$30:$K$74)*((気管支鏡!$H$3-気管支鏡!$I$3)/気管支鏡!$H$3),0)</f>
        <v>0</v>
      </c>
      <c r="Y180" s="306">
        <f t="shared" si="36"/>
        <v>0</v>
      </c>
      <c r="Z180" s="305">
        <f>IFERROR(SUMIF(CT撮影装置!$C$30:$C$74,B180,CT撮影装置!$K$30:$K$74)*((CT撮影装置!$H$3-CT撮影装置!$I$3)/CT撮影装置!$H$3),0)</f>
        <v>0</v>
      </c>
      <c r="AA180" s="306">
        <f t="shared" si="51"/>
        <v>0</v>
      </c>
      <c r="AB180" s="305">
        <f>IFERROR(SUMIF(生体情報モニタ!$C$30:$C$74,B180,生体情報モニタ!$K$30:$K$74)*((生体情報モニタ!$H$3-生体情報モニタ!$I$3)/生体情報モニタ!$H$3),0)</f>
        <v>0</v>
      </c>
      <c r="AC180" s="306">
        <f t="shared" si="37"/>
        <v>0</v>
      </c>
      <c r="AD180" s="305">
        <f>IFERROR(SUMIF(分娩監視装置!$C$30:$C$74,B180,分娩監視装置!$K$30:$K$74)*((分娩監視装置!$H$3-分娩監視装置!$I$3)/分娩監視装置!$H$3),0)</f>
        <v>0</v>
      </c>
      <c r="AE180" s="306">
        <f t="shared" si="52"/>
        <v>0</v>
      </c>
      <c r="AF180" s="305">
        <f>IFERROR(SUMIF(新生児モニタ!$C$30:$C$74,B180,新生児モニタ!$K$30:$K$74)*((新生児モニタ!$H$3-新生児モニタ!$I$3)/新生児モニタ!$H$3),0)</f>
        <v>0</v>
      </c>
      <c r="AG180" s="306">
        <f t="shared" si="53"/>
        <v>0</v>
      </c>
    </row>
    <row r="181" spans="2:33">
      <c r="B181" s="283" t="s">
        <v>994</v>
      </c>
      <c r="C181" s="305">
        <f>IFERROR(SUMIF(初度設備!$C$30:$C$74,B181,初度設備!$K$30:$K$74)*((初度設備!$H$3-初度設備!$I$3)/初度設備!$H$3),0)</f>
        <v>0</v>
      </c>
      <c r="D181" s="306">
        <f t="shared" si="38"/>
        <v>0</v>
      </c>
      <c r="E181" s="305">
        <f>IFERROR(SUMIF(人工呼吸器!$C$30:$C$74,B181,人工呼吸器!$K$30:$K$74)*((人工呼吸器!$H$3-人工呼吸器!$I$3)/人工呼吸器!$H$3),0)</f>
        <v>0</v>
      </c>
      <c r="F181" s="306">
        <f t="shared" si="39"/>
        <v>0</v>
      </c>
      <c r="G181" s="306">
        <f t="shared" si="40"/>
        <v>0</v>
      </c>
      <c r="H181" s="306">
        <f t="shared" si="41"/>
        <v>0</v>
      </c>
      <c r="I181" s="305">
        <f>IFERROR(SUMIF(簡易陰圧装置!$C$30:$C$74,B181,簡易陰圧装置!$K$30:$K$74)*((簡易陰圧装置!$H$3-簡易陰圧装置!$I$3)/簡易陰圧装置!$H$3),0)</f>
        <v>0</v>
      </c>
      <c r="J181" s="306">
        <f t="shared" si="42"/>
        <v>0</v>
      </c>
      <c r="K181" s="305">
        <f>IFERROR(SUMIF(簡易ベッド!$C$30:$C$74,B181,簡易ベッド!$K$30:$K$74)*((簡易ベッド!$H$3-簡易ベッド!$I$3)/簡易ベッド!$H$3),0)</f>
        <v>0</v>
      </c>
      <c r="L181" s="306">
        <f t="shared" si="43"/>
        <v>0</v>
      </c>
      <c r="M181" s="305">
        <f>IFERROR(SUMIF(体外式膜型人工肺!$C$30:$C$74,B181,体外式膜型人工肺!$K$30:$K$74)*((体外式膜型人工肺!$H$3-体外式膜型人工肺!$I$3)/体外式膜型人工肺!$H$3),0)</f>
        <v>0</v>
      </c>
      <c r="N181" s="306">
        <f t="shared" si="44"/>
        <v>0</v>
      </c>
      <c r="O181" s="306">
        <f t="shared" si="45"/>
        <v>0</v>
      </c>
      <c r="P181" s="306">
        <f t="shared" si="46"/>
        <v>0</v>
      </c>
      <c r="Q181" s="305">
        <f>IFERROR(SUMIF(紫外線照射装置!$C$30:$C$74,B181,紫外線照射装置!$K$30:$K$74)*((紫外線照射装置!$H$3-紫外線照射装置!$I$3)/紫外線照射装置!$H$3),0)</f>
        <v>0</v>
      </c>
      <c r="R181" s="306">
        <f t="shared" si="47"/>
        <v>0</v>
      </c>
      <c r="S181" s="419">
        <f t="shared" si="48"/>
        <v>0</v>
      </c>
      <c r="T181" s="305">
        <f>IFERROR(SUMIF(超音波画像診断装置!$C$30:$C$74,B181,超音波画像診断装置!$K$30:$K$74)*((超音波画像診断装置!$H$3-超音波画像診断装置!$I$3)/超音波画像診断装置!$H$3),0)</f>
        <v>0</v>
      </c>
      <c r="U181" s="306">
        <f t="shared" si="49"/>
        <v>0</v>
      </c>
      <c r="V181" s="305">
        <f>IFERROR(SUMIF(血液浄化装置!$C$30:$C$74,B181,血液浄化装置!$K$30:$K$74)*((血液浄化装置!$H$3-血液浄化装置!$I$3)/血液浄化装置!$H$3),0)</f>
        <v>0</v>
      </c>
      <c r="W181" s="306">
        <f t="shared" si="50"/>
        <v>0</v>
      </c>
      <c r="X181" s="305">
        <f>IFERROR(SUMIF(気管支鏡!$C$30:$C$74,B181,気管支鏡!$K$30:$K$74)*((気管支鏡!$H$3-気管支鏡!$I$3)/気管支鏡!$H$3),0)</f>
        <v>0</v>
      </c>
      <c r="Y181" s="306">
        <f t="shared" si="36"/>
        <v>0</v>
      </c>
      <c r="Z181" s="305">
        <f>IFERROR(SUMIF(CT撮影装置!$C$30:$C$74,B181,CT撮影装置!$K$30:$K$74)*((CT撮影装置!$H$3-CT撮影装置!$I$3)/CT撮影装置!$H$3),0)</f>
        <v>0</v>
      </c>
      <c r="AA181" s="306">
        <f t="shared" si="51"/>
        <v>0</v>
      </c>
      <c r="AB181" s="305">
        <f>IFERROR(SUMIF(生体情報モニタ!$C$30:$C$74,B181,生体情報モニタ!$K$30:$K$74)*((生体情報モニタ!$H$3-生体情報モニタ!$I$3)/生体情報モニタ!$H$3),0)</f>
        <v>0</v>
      </c>
      <c r="AC181" s="306">
        <f t="shared" si="37"/>
        <v>0</v>
      </c>
      <c r="AD181" s="305">
        <f>IFERROR(SUMIF(分娩監視装置!$C$30:$C$74,B181,分娩監視装置!$K$30:$K$74)*((分娩監視装置!$H$3-分娩監視装置!$I$3)/分娩監視装置!$H$3),0)</f>
        <v>0</v>
      </c>
      <c r="AE181" s="306">
        <f t="shared" si="52"/>
        <v>0</v>
      </c>
      <c r="AF181" s="305">
        <f>IFERROR(SUMIF(新生児モニタ!$C$30:$C$74,B181,新生児モニタ!$K$30:$K$74)*((新生児モニタ!$H$3-新生児モニタ!$I$3)/新生児モニタ!$H$3),0)</f>
        <v>0</v>
      </c>
      <c r="AG181" s="306">
        <f t="shared" si="53"/>
        <v>0</v>
      </c>
    </row>
    <row r="182" spans="2:33">
      <c r="B182" s="283" t="s">
        <v>995</v>
      </c>
      <c r="C182" s="305">
        <f>IFERROR(SUMIF(初度設備!$C$30:$C$74,B182,初度設備!$K$30:$K$74)*((初度設備!$H$3-初度設備!$I$3)/初度設備!$H$3),0)</f>
        <v>0</v>
      </c>
      <c r="D182" s="306">
        <f t="shared" si="38"/>
        <v>0</v>
      </c>
      <c r="E182" s="305">
        <f>IFERROR(SUMIF(人工呼吸器!$C$30:$C$74,B182,人工呼吸器!$K$30:$K$74)*((人工呼吸器!$H$3-人工呼吸器!$I$3)/人工呼吸器!$H$3),0)</f>
        <v>0</v>
      </c>
      <c r="F182" s="306">
        <f t="shared" si="39"/>
        <v>0</v>
      </c>
      <c r="G182" s="306">
        <f t="shared" si="40"/>
        <v>0</v>
      </c>
      <c r="H182" s="306">
        <f t="shared" si="41"/>
        <v>0</v>
      </c>
      <c r="I182" s="305">
        <f>IFERROR(SUMIF(簡易陰圧装置!$C$30:$C$74,B182,簡易陰圧装置!$K$30:$K$74)*((簡易陰圧装置!$H$3-簡易陰圧装置!$I$3)/簡易陰圧装置!$H$3),0)</f>
        <v>0</v>
      </c>
      <c r="J182" s="306">
        <f t="shared" si="42"/>
        <v>0</v>
      </c>
      <c r="K182" s="305">
        <f>IFERROR(SUMIF(簡易ベッド!$C$30:$C$74,B182,簡易ベッド!$K$30:$K$74)*((簡易ベッド!$H$3-簡易ベッド!$I$3)/簡易ベッド!$H$3),0)</f>
        <v>0</v>
      </c>
      <c r="L182" s="306">
        <f t="shared" si="43"/>
        <v>0</v>
      </c>
      <c r="M182" s="305">
        <f>IFERROR(SUMIF(体外式膜型人工肺!$C$30:$C$74,B182,体外式膜型人工肺!$K$30:$K$74)*((体外式膜型人工肺!$H$3-体外式膜型人工肺!$I$3)/体外式膜型人工肺!$H$3),0)</f>
        <v>0</v>
      </c>
      <c r="N182" s="306">
        <f t="shared" si="44"/>
        <v>0</v>
      </c>
      <c r="O182" s="306">
        <f t="shared" si="45"/>
        <v>0</v>
      </c>
      <c r="P182" s="306">
        <f t="shared" si="46"/>
        <v>0</v>
      </c>
      <c r="Q182" s="305">
        <f>IFERROR(SUMIF(紫外線照射装置!$C$30:$C$74,B182,紫外線照射装置!$K$30:$K$74)*((紫外線照射装置!$H$3-紫外線照射装置!$I$3)/紫外線照射装置!$H$3),0)</f>
        <v>0</v>
      </c>
      <c r="R182" s="306">
        <f t="shared" si="47"/>
        <v>0</v>
      </c>
      <c r="S182" s="419">
        <f t="shared" si="48"/>
        <v>0</v>
      </c>
      <c r="T182" s="305">
        <f>IFERROR(SUMIF(超音波画像診断装置!$C$30:$C$74,B182,超音波画像診断装置!$K$30:$K$74)*((超音波画像診断装置!$H$3-超音波画像診断装置!$I$3)/超音波画像診断装置!$H$3),0)</f>
        <v>0</v>
      </c>
      <c r="U182" s="306">
        <f t="shared" si="49"/>
        <v>0</v>
      </c>
      <c r="V182" s="305">
        <f>IFERROR(SUMIF(血液浄化装置!$C$30:$C$74,B182,血液浄化装置!$K$30:$K$74)*((血液浄化装置!$H$3-血液浄化装置!$I$3)/血液浄化装置!$H$3),0)</f>
        <v>0</v>
      </c>
      <c r="W182" s="306">
        <f t="shared" si="50"/>
        <v>0</v>
      </c>
      <c r="X182" s="305">
        <f>IFERROR(SUMIF(気管支鏡!$C$30:$C$74,B182,気管支鏡!$K$30:$K$74)*((気管支鏡!$H$3-気管支鏡!$I$3)/気管支鏡!$H$3),0)</f>
        <v>0</v>
      </c>
      <c r="Y182" s="306">
        <f t="shared" si="36"/>
        <v>0</v>
      </c>
      <c r="Z182" s="305">
        <f>IFERROR(SUMIF(CT撮影装置!$C$30:$C$74,B182,CT撮影装置!$K$30:$K$74)*((CT撮影装置!$H$3-CT撮影装置!$I$3)/CT撮影装置!$H$3),0)</f>
        <v>0</v>
      </c>
      <c r="AA182" s="306">
        <f t="shared" si="51"/>
        <v>0</v>
      </c>
      <c r="AB182" s="305">
        <f>IFERROR(SUMIF(生体情報モニタ!$C$30:$C$74,B182,生体情報モニタ!$K$30:$K$74)*((生体情報モニタ!$H$3-生体情報モニタ!$I$3)/生体情報モニタ!$H$3),0)</f>
        <v>0</v>
      </c>
      <c r="AC182" s="306">
        <f t="shared" si="37"/>
        <v>0</v>
      </c>
      <c r="AD182" s="305">
        <f>IFERROR(SUMIF(分娩監視装置!$C$30:$C$74,B182,分娩監視装置!$K$30:$K$74)*((分娩監視装置!$H$3-分娩監視装置!$I$3)/分娩監視装置!$H$3),0)</f>
        <v>0</v>
      </c>
      <c r="AE182" s="306">
        <f t="shared" si="52"/>
        <v>0</v>
      </c>
      <c r="AF182" s="305">
        <f>IFERROR(SUMIF(新生児モニタ!$C$30:$C$74,B182,新生児モニタ!$K$30:$K$74)*((新生児モニタ!$H$3-新生児モニタ!$I$3)/新生児モニタ!$H$3),0)</f>
        <v>0</v>
      </c>
      <c r="AG182" s="306">
        <f t="shared" si="53"/>
        <v>0</v>
      </c>
    </row>
    <row r="183" spans="2:33">
      <c r="B183" s="283" t="s">
        <v>996</v>
      </c>
      <c r="C183" s="305">
        <f>IFERROR(SUMIF(初度設備!$C$30:$C$74,B183,初度設備!$K$30:$K$74)*((初度設備!$H$3-初度設備!$I$3)/初度設備!$H$3),0)</f>
        <v>0</v>
      </c>
      <c r="D183" s="306">
        <f t="shared" si="38"/>
        <v>0</v>
      </c>
      <c r="E183" s="305">
        <f>IFERROR(SUMIF(人工呼吸器!$C$30:$C$74,B183,人工呼吸器!$K$30:$K$74)*((人工呼吸器!$H$3-人工呼吸器!$I$3)/人工呼吸器!$H$3),0)</f>
        <v>0</v>
      </c>
      <c r="F183" s="306">
        <f t="shared" si="39"/>
        <v>0</v>
      </c>
      <c r="G183" s="306">
        <f t="shared" si="40"/>
        <v>0</v>
      </c>
      <c r="H183" s="306">
        <f t="shared" si="41"/>
        <v>0</v>
      </c>
      <c r="I183" s="305">
        <f>IFERROR(SUMIF(簡易陰圧装置!$C$30:$C$74,B183,簡易陰圧装置!$K$30:$K$74)*((簡易陰圧装置!$H$3-簡易陰圧装置!$I$3)/簡易陰圧装置!$H$3),0)</f>
        <v>0</v>
      </c>
      <c r="J183" s="306">
        <f t="shared" si="42"/>
        <v>0</v>
      </c>
      <c r="K183" s="305">
        <f>IFERROR(SUMIF(簡易ベッド!$C$30:$C$74,B183,簡易ベッド!$K$30:$K$74)*((簡易ベッド!$H$3-簡易ベッド!$I$3)/簡易ベッド!$H$3),0)</f>
        <v>0</v>
      </c>
      <c r="L183" s="306">
        <f t="shared" si="43"/>
        <v>0</v>
      </c>
      <c r="M183" s="305">
        <f>IFERROR(SUMIF(体外式膜型人工肺!$C$30:$C$74,B183,体外式膜型人工肺!$K$30:$K$74)*((体外式膜型人工肺!$H$3-体外式膜型人工肺!$I$3)/体外式膜型人工肺!$H$3),0)</f>
        <v>0</v>
      </c>
      <c r="N183" s="306">
        <f t="shared" si="44"/>
        <v>0</v>
      </c>
      <c r="O183" s="306">
        <f t="shared" si="45"/>
        <v>0</v>
      </c>
      <c r="P183" s="306">
        <f t="shared" si="46"/>
        <v>0</v>
      </c>
      <c r="Q183" s="305">
        <f>IFERROR(SUMIF(紫外線照射装置!$C$30:$C$74,B183,紫外線照射装置!$K$30:$K$74)*((紫外線照射装置!$H$3-紫外線照射装置!$I$3)/紫外線照射装置!$H$3),0)</f>
        <v>0</v>
      </c>
      <c r="R183" s="306">
        <f t="shared" si="47"/>
        <v>0</v>
      </c>
      <c r="S183" s="419">
        <f t="shared" si="48"/>
        <v>0</v>
      </c>
      <c r="T183" s="305">
        <f>IFERROR(SUMIF(超音波画像診断装置!$C$30:$C$74,B183,超音波画像診断装置!$K$30:$K$74)*((超音波画像診断装置!$H$3-超音波画像診断装置!$I$3)/超音波画像診断装置!$H$3),0)</f>
        <v>0</v>
      </c>
      <c r="U183" s="306">
        <f t="shared" si="49"/>
        <v>0</v>
      </c>
      <c r="V183" s="305">
        <f>IFERROR(SUMIF(血液浄化装置!$C$30:$C$74,B183,血液浄化装置!$K$30:$K$74)*((血液浄化装置!$H$3-血液浄化装置!$I$3)/血液浄化装置!$H$3),0)</f>
        <v>0</v>
      </c>
      <c r="W183" s="306">
        <f t="shared" si="50"/>
        <v>0</v>
      </c>
      <c r="X183" s="305">
        <f>IFERROR(SUMIF(気管支鏡!$C$30:$C$74,B183,気管支鏡!$K$30:$K$74)*((気管支鏡!$H$3-気管支鏡!$I$3)/気管支鏡!$H$3),0)</f>
        <v>0</v>
      </c>
      <c r="Y183" s="306">
        <f t="shared" si="36"/>
        <v>0</v>
      </c>
      <c r="Z183" s="305">
        <f>IFERROR(SUMIF(CT撮影装置!$C$30:$C$74,B183,CT撮影装置!$K$30:$K$74)*((CT撮影装置!$H$3-CT撮影装置!$I$3)/CT撮影装置!$H$3),0)</f>
        <v>0</v>
      </c>
      <c r="AA183" s="306">
        <f t="shared" si="51"/>
        <v>0</v>
      </c>
      <c r="AB183" s="305">
        <f>IFERROR(SUMIF(生体情報モニタ!$C$30:$C$74,B183,生体情報モニタ!$K$30:$K$74)*((生体情報モニタ!$H$3-生体情報モニタ!$I$3)/生体情報モニタ!$H$3),0)</f>
        <v>0</v>
      </c>
      <c r="AC183" s="306">
        <f t="shared" si="37"/>
        <v>0</v>
      </c>
      <c r="AD183" s="305">
        <f>IFERROR(SUMIF(分娩監視装置!$C$30:$C$74,B183,分娩監視装置!$K$30:$K$74)*((分娩監視装置!$H$3-分娩監視装置!$I$3)/分娩監視装置!$H$3),0)</f>
        <v>0</v>
      </c>
      <c r="AE183" s="306">
        <f t="shared" si="52"/>
        <v>0</v>
      </c>
      <c r="AF183" s="305">
        <f>IFERROR(SUMIF(新生児モニタ!$C$30:$C$74,B183,新生児モニタ!$K$30:$K$74)*((新生児モニタ!$H$3-新生児モニタ!$I$3)/新生児モニタ!$H$3),0)</f>
        <v>0</v>
      </c>
      <c r="AG183" s="306">
        <f t="shared" si="53"/>
        <v>0</v>
      </c>
    </row>
    <row r="184" spans="2:33">
      <c r="B184" s="283" t="s">
        <v>997</v>
      </c>
      <c r="C184" s="305">
        <f>IFERROR(SUMIF(初度設備!$C$30:$C$74,B184,初度設備!$K$30:$K$74)*((初度設備!$H$3-初度設備!$I$3)/初度設備!$H$3),0)</f>
        <v>0</v>
      </c>
      <c r="D184" s="306">
        <f t="shared" si="38"/>
        <v>0</v>
      </c>
      <c r="E184" s="305">
        <f>IFERROR(SUMIF(人工呼吸器!$C$30:$C$74,B184,人工呼吸器!$K$30:$K$74)*((人工呼吸器!$H$3-人工呼吸器!$I$3)/人工呼吸器!$H$3),0)</f>
        <v>0</v>
      </c>
      <c r="F184" s="306">
        <f t="shared" si="39"/>
        <v>0</v>
      </c>
      <c r="G184" s="306">
        <f t="shared" si="40"/>
        <v>0</v>
      </c>
      <c r="H184" s="306">
        <f t="shared" si="41"/>
        <v>0</v>
      </c>
      <c r="I184" s="305">
        <f>IFERROR(SUMIF(簡易陰圧装置!$C$30:$C$74,B184,簡易陰圧装置!$K$30:$K$74)*((簡易陰圧装置!$H$3-簡易陰圧装置!$I$3)/簡易陰圧装置!$H$3),0)</f>
        <v>0</v>
      </c>
      <c r="J184" s="306">
        <f t="shared" si="42"/>
        <v>0</v>
      </c>
      <c r="K184" s="305">
        <f>IFERROR(SUMIF(簡易ベッド!$C$30:$C$74,B184,簡易ベッド!$K$30:$K$74)*((簡易ベッド!$H$3-簡易ベッド!$I$3)/簡易ベッド!$H$3),0)</f>
        <v>0</v>
      </c>
      <c r="L184" s="306">
        <f t="shared" si="43"/>
        <v>0</v>
      </c>
      <c r="M184" s="305">
        <f>IFERROR(SUMIF(体外式膜型人工肺!$C$30:$C$74,B184,体外式膜型人工肺!$K$30:$K$74)*((体外式膜型人工肺!$H$3-体外式膜型人工肺!$I$3)/体外式膜型人工肺!$H$3),0)</f>
        <v>0</v>
      </c>
      <c r="N184" s="306">
        <f t="shared" si="44"/>
        <v>0</v>
      </c>
      <c r="O184" s="306">
        <f t="shared" si="45"/>
        <v>0</v>
      </c>
      <c r="P184" s="306">
        <f t="shared" si="46"/>
        <v>0</v>
      </c>
      <c r="Q184" s="305">
        <f>IFERROR(SUMIF(紫外線照射装置!$C$30:$C$74,B184,紫外線照射装置!$K$30:$K$74)*((紫外線照射装置!$H$3-紫外線照射装置!$I$3)/紫外線照射装置!$H$3),0)</f>
        <v>0</v>
      </c>
      <c r="R184" s="306">
        <f t="shared" si="47"/>
        <v>0</v>
      </c>
      <c r="S184" s="419">
        <f t="shared" si="48"/>
        <v>0</v>
      </c>
      <c r="T184" s="305">
        <f>IFERROR(SUMIF(超音波画像診断装置!$C$30:$C$74,B184,超音波画像診断装置!$K$30:$K$74)*((超音波画像診断装置!$H$3-超音波画像診断装置!$I$3)/超音波画像診断装置!$H$3),0)</f>
        <v>0</v>
      </c>
      <c r="U184" s="306">
        <f t="shared" si="49"/>
        <v>0</v>
      </c>
      <c r="V184" s="305">
        <f>IFERROR(SUMIF(血液浄化装置!$C$30:$C$74,B184,血液浄化装置!$K$30:$K$74)*((血液浄化装置!$H$3-血液浄化装置!$I$3)/血液浄化装置!$H$3),0)</f>
        <v>0</v>
      </c>
      <c r="W184" s="306">
        <f t="shared" si="50"/>
        <v>0</v>
      </c>
      <c r="X184" s="305">
        <f>IFERROR(SUMIF(気管支鏡!$C$30:$C$74,B184,気管支鏡!$K$30:$K$74)*((気管支鏡!$H$3-気管支鏡!$I$3)/気管支鏡!$H$3),0)</f>
        <v>0</v>
      </c>
      <c r="Y184" s="306">
        <f t="shared" si="36"/>
        <v>0</v>
      </c>
      <c r="Z184" s="305">
        <f>IFERROR(SUMIF(CT撮影装置!$C$30:$C$74,B184,CT撮影装置!$K$30:$K$74)*((CT撮影装置!$H$3-CT撮影装置!$I$3)/CT撮影装置!$H$3),0)</f>
        <v>0</v>
      </c>
      <c r="AA184" s="306">
        <f t="shared" si="51"/>
        <v>0</v>
      </c>
      <c r="AB184" s="305">
        <f>IFERROR(SUMIF(生体情報モニタ!$C$30:$C$74,B184,生体情報モニタ!$K$30:$K$74)*((生体情報モニタ!$H$3-生体情報モニタ!$I$3)/生体情報モニタ!$H$3),0)</f>
        <v>0</v>
      </c>
      <c r="AC184" s="306">
        <f t="shared" si="37"/>
        <v>0</v>
      </c>
      <c r="AD184" s="305">
        <f>IFERROR(SUMIF(分娩監視装置!$C$30:$C$74,B184,分娩監視装置!$K$30:$K$74)*((分娩監視装置!$H$3-分娩監視装置!$I$3)/分娩監視装置!$H$3),0)</f>
        <v>0</v>
      </c>
      <c r="AE184" s="306">
        <f t="shared" si="52"/>
        <v>0</v>
      </c>
      <c r="AF184" s="305">
        <f>IFERROR(SUMIF(新生児モニタ!$C$30:$C$74,B184,新生児モニタ!$K$30:$K$74)*((新生児モニタ!$H$3-新生児モニタ!$I$3)/新生児モニタ!$H$3),0)</f>
        <v>0</v>
      </c>
      <c r="AG184" s="306">
        <f t="shared" si="53"/>
        <v>0</v>
      </c>
    </row>
    <row r="185" spans="2:33">
      <c r="B185" s="283" t="s">
        <v>998</v>
      </c>
      <c r="C185" s="305">
        <f>IFERROR(SUMIF(初度設備!$C$30:$C$74,B185,初度設備!$K$30:$K$74)*((初度設備!$H$3-初度設備!$I$3)/初度設備!$H$3),0)</f>
        <v>0</v>
      </c>
      <c r="D185" s="306">
        <f t="shared" si="38"/>
        <v>0</v>
      </c>
      <c r="E185" s="305">
        <f>IFERROR(SUMIF(人工呼吸器!$C$30:$C$74,B185,人工呼吸器!$K$30:$K$74)*((人工呼吸器!$H$3-人工呼吸器!$I$3)/人工呼吸器!$H$3),0)</f>
        <v>0</v>
      </c>
      <c r="F185" s="306">
        <f t="shared" si="39"/>
        <v>0</v>
      </c>
      <c r="G185" s="306">
        <f t="shared" si="40"/>
        <v>0</v>
      </c>
      <c r="H185" s="306">
        <f t="shared" si="41"/>
        <v>0</v>
      </c>
      <c r="I185" s="305">
        <f>IFERROR(SUMIF(簡易陰圧装置!$C$30:$C$74,B185,簡易陰圧装置!$K$30:$K$74)*((簡易陰圧装置!$H$3-簡易陰圧装置!$I$3)/簡易陰圧装置!$H$3),0)</f>
        <v>0</v>
      </c>
      <c r="J185" s="306">
        <f t="shared" si="42"/>
        <v>0</v>
      </c>
      <c r="K185" s="305">
        <f>IFERROR(SUMIF(簡易ベッド!$C$30:$C$74,B185,簡易ベッド!$K$30:$K$74)*((簡易ベッド!$H$3-簡易ベッド!$I$3)/簡易ベッド!$H$3),0)</f>
        <v>0</v>
      </c>
      <c r="L185" s="306">
        <f t="shared" si="43"/>
        <v>0</v>
      </c>
      <c r="M185" s="305">
        <f>IFERROR(SUMIF(体外式膜型人工肺!$C$30:$C$74,B185,体外式膜型人工肺!$K$30:$K$74)*((体外式膜型人工肺!$H$3-体外式膜型人工肺!$I$3)/体外式膜型人工肺!$H$3),0)</f>
        <v>0</v>
      </c>
      <c r="N185" s="306">
        <f t="shared" si="44"/>
        <v>0</v>
      </c>
      <c r="O185" s="306">
        <f t="shared" si="45"/>
        <v>0</v>
      </c>
      <c r="P185" s="306">
        <f t="shared" si="46"/>
        <v>0</v>
      </c>
      <c r="Q185" s="305">
        <f>IFERROR(SUMIF(紫外線照射装置!$C$30:$C$74,B185,紫外線照射装置!$K$30:$K$74)*((紫外線照射装置!$H$3-紫外線照射装置!$I$3)/紫外線照射装置!$H$3),0)</f>
        <v>0</v>
      </c>
      <c r="R185" s="306">
        <f t="shared" si="47"/>
        <v>0</v>
      </c>
      <c r="S185" s="419">
        <f t="shared" si="48"/>
        <v>0</v>
      </c>
      <c r="T185" s="305">
        <f>IFERROR(SUMIF(超音波画像診断装置!$C$30:$C$74,B185,超音波画像診断装置!$K$30:$K$74)*((超音波画像診断装置!$H$3-超音波画像診断装置!$I$3)/超音波画像診断装置!$H$3),0)</f>
        <v>0</v>
      </c>
      <c r="U185" s="306">
        <f t="shared" si="49"/>
        <v>0</v>
      </c>
      <c r="V185" s="305">
        <f>IFERROR(SUMIF(血液浄化装置!$C$30:$C$74,B185,血液浄化装置!$K$30:$K$74)*((血液浄化装置!$H$3-血液浄化装置!$I$3)/血液浄化装置!$H$3),0)</f>
        <v>0</v>
      </c>
      <c r="W185" s="306">
        <f t="shared" si="50"/>
        <v>0</v>
      </c>
      <c r="X185" s="305">
        <f>IFERROR(SUMIF(気管支鏡!$C$30:$C$74,B185,気管支鏡!$K$30:$K$74)*((気管支鏡!$H$3-気管支鏡!$I$3)/気管支鏡!$H$3),0)</f>
        <v>0</v>
      </c>
      <c r="Y185" s="306">
        <f t="shared" si="36"/>
        <v>0</v>
      </c>
      <c r="Z185" s="305">
        <f>IFERROR(SUMIF(CT撮影装置!$C$30:$C$74,B185,CT撮影装置!$K$30:$K$74)*((CT撮影装置!$H$3-CT撮影装置!$I$3)/CT撮影装置!$H$3),0)</f>
        <v>0</v>
      </c>
      <c r="AA185" s="306">
        <f t="shared" si="51"/>
        <v>0</v>
      </c>
      <c r="AB185" s="305">
        <f>IFERROR(SUMIF(生体情報モニタ!$C$30:$C$74,B185,生体情報モニタ!$K$30:$K$74)*((生体情報モニタ!$H$3-生体情報モニタ!$I$3)/生体情報モニタ!$H$3),0)</f>
        <v>0</v>
      </c>
      <c r="AC185" s="306">
        <f t="shared" si="37"/>
        <v>0</v>
      </c>
      <c r="AD185" s="305">
        <f>IFERROR(SUMIF(分娩監視装置!$C$30:$C$74,B185,分娩監視装置!$K$30:$K$74)*((分娩監視装置!$H$3-分娩監視装置!$I$3)/分娩監視装置!$H$3),0)</f>
        <v>0</v>
      </c>
      <c r="AE185" s="306">
        <f t="shared" si="52"/>
        <v>0</v>
      </c>
      <c r="AF185" s="305">
        <f>IFERROR(SUMIF(新生児モニタ!$C$30:$C$74,B185,新生児モニタ!$K$30:$K$74)*((新生児モニタ!$H$3-新生児モニタ!$I$3)/新生児モニタ!$H$3),0)</f>
        <v>0</v>
      </c>
      <c r="AG185" s="306">
        <f t="shared" si="53"/>
        <v>0</v>
      </c>
    </row>
    <row r="186" spans="2:33">
      <c r="B186" s="283" t="s">
        <v>999</v>
      </c>
      <c r="C186" s="305">
        <f>IFERROR(SUMIF(初度設備!$C$30:$C$74,B186,初度設備!$K$30:$K$74)*((初度設備!$H$3-初度設備!$I$3)/初度設備!$H$3),0)</f>
        <v>0</v>
      </c>
      <c r="D186" s="306">
        <f t="shared" si="38"/>
        <v>0</v>
      </c>
      <c r="E186" s="305">
        <f>IFERROR(SUMIF(人工呼吸器!$C$30:$C$74,B186,人工呼吸器!$K$30:$K$74)*((人工呼吸器!$H$3-人工呼吸器!$I$3)/人工呼吸器!$H$3),0)</f>
        <v>0</v>
      </c>
      <c r="F186" s="306">
        <f t="shared" si="39"/>
        <v>0</v>
      </c>
      <c r="G186" s="306">
        <f t="shared" si="40"/>
        <v>0</v>
      </c>
      <c r="H186" s="306">
        <f t="shared" si="41"/>
        <v>0</v>
      </c>
      <c r="I186" s="305">
        <f>IFERROR(SUMIF(簡易陰圧装置!$C$30:$C$74,B186,簡易陰圧装置!$K$30:$K$74)*((簡易陰圧装置!$H$3-簡易陰圧装置!$I$3)/簡易陰圧装置!$H$3),0)</f>
        <v>0</v>
      </c>
      <c r="J186" s="306">
        <f t="shared" si="42"/>
        <v>0</v>
      </c>
      <c r="K186" s="305">
        <f>IFERROR(SUMIF(簡易ベッド!$C$30:$C$74,B186,簡易ベッド!$K$30:$K$74)*((簡易ベッド!$H$3-簡易ベッド!$I$3)/簡易ベッド!$H$3),0)</f>
        <v>0</v>
      </c>
      <c r="L186" s="306">
        <f t="shared" si="43"/>
        <v>0</v>
      </c>
      <c r="M186" s="305">
        <f>IFERROR(SUMIF(体外式膜型人工肺!$C$30:$C$74,B186,体外式膜型人工肺!$K$30:$K$74)*((体外式膜型人工肺!$H$3-体外式膜型人工肺!$I$3)/体外式膜型人工肺!$H$3),0)</f>
        <v>0</v>
      </c>
      <c r="N186" s="306">
        <f t="shared" si="44"/>
        <v>0</v>
      </c>
      <c r="O186" s="306">
        <f t="shared" si="45"/>
        <v>0</v>
      </c>
      <c r="P186" s="306">
        <f t="shared" si="46"/>
        <v>0</v>
      </c>
      <c r="Q186" s="305">
        <f>IFERROR(SUMIF(紫外線照射装置!$C$30:$C$74,B186,紫外線照射装置!$K$30:$K$74)*((紫外線照射装置!$H$3-紫外線照射装置!$I$3)/紫外線照射装置!$H$3),0)</f>
        <v>0</v>
      </c>
      <c r="R186" s="306">
        <f t="shared" si="47"/>
        <v>0</v>
      </c>
      <c r="S186" s="419">
        <f t="shared" si="48"/>
        <v>0</v>
      </c>
      <c r="T186" s="305">
        <f>IFERROR(SUMIF(超音波画像診断装置!$C$30:$C$74,B186,超音波画像診断装置!$K$30:$K$74)*((超音波画像診断装置!$H$3-超音波画像診断装置!$I$3)/超音波画像診断装置!$H$3),0)</f>
        <v>0</v>
      </c>
      <c r="U186" s="306">
        <f t="shared" si="49"/>
        <v>0</v>
      </c>
      <c r="V186" s="305">
        <f>IFERROR(SUMIF(血液浄化装置!$C$30:$C$74,B186,血液浄化装置!$K$30:$K$74)*((血液浄化装置!$H$3-血液浄化装置!$I$3)/血液浄化装置!$H$3),0)</f>
        <v>0</v>
      </c>
      <c r="W186" s="306">
        <f t="shared" si="50"/>
        <v>0</v>
      </c>
      <c r="X186" s="305">
        <f>IFERROR(SUMIF(気管支鏡!$C$30:$C$74,B186,気管支鏡!$K$30:$K$74)*((気管支鏡!$H$3-気管支鏡!$I$3)/気管支鏡!$H$3),0)</f>
        <v>0</v>
      </c>
      <c r="Y186" s="306">
        <f t="shared" si="36"/>
        <v>0</v>
      </c>
      <c r="Z186" s="305">
        <f>IFERROR(SUMIF(CT撮影装置!$C$30:$C$74,B186,CT撮影装置!$K$30:$K$74)*((CT撮影装置!$H$3-CT撮影装置!$I$3)/CT撮影装置!$H$3),0)</f>
        <v>0</v>
      </c>
      <c r="AA186" s="306">
        <f t="shared" si="51"/>
        <v>0</v>
      </c>
      <c r="AB186" s="305">
        <f>IFERROR(SUMIF(生体情報モニタ!$C$30:$C$74,B186,生体情報モニタ!$K$30:$K$74)*((生体情報モニタ!$H$3-生体情報モニタ!$I$3)/生体情報モニタ!$H$3),0)</f>
        <v>0</v>
      </c>
      <c r="AC186" s="306">
        <f t="shared" si="37"/>
        <v>0</v>
      </c>
      <c r="AD186" s="305">
        <f>IFERROR(SUMIF(分娩監視装置!$C$30:$C$74,B186,分娩監視装置!$K$30:$K$74)*((分娩監視装置!$H$3-分娩監視装置!$I$3)/分娩監視装置!$H$3),0)</f>
        <v>0</v>
      </c>
      <c r="AE186" s="306">
        <f t="shared" si="52"/>
        <v>0</v>
      </c>
      <c r="AF186" s="305">
        <f>IFERROR(SUMIF(新生児モニタ!$C$30:$C$74,B186,新生児モニタ!$K$30:$K$74)*((新生児モニタ!$H$3-新生児モニタ!$I$3)/新生児モニタ!$H$3),0)</f>
        <v>0</v>
      </c>
      <c r="AG186" s="306">
        <f t="shared" si="53"/>
        <v>0</v>
      </c>
    </row>
    <row r="187" spans="2:33">
      <c r="B187" s="283" t="s">
        <v>1000</v>
      </c>
      <c r="C187" s="305">
        <f>IFERROR(SUMIF(初度設備!$C$30:$C$74,B187,初度設備!$K$30:$K$74)*((初度設備!$H$3-初度設備!$I$3)/初度設備!$H$3),0)</f>
        <v>0</v>
      </c>
      <c r="D187" s="306">
        <f t="shared" si="38"/>
        <v>0</v>
      </c>
      <c r="E187" s="305">
        <f>IFERROR(SUMIF(人工呼吸器!$C$30:$C$74,B187,人工呼吸器!$K$30:$K$74)*((人工呼吸器!$H$3-人工呼吸器!$I$3)/人工呼吸器!$H$3),0)</f>
        <v>0</v>
      </c>
      <c r="F187" s="306">
        <f t="shared" si="39"/>
        <v>0</v>
      </c>
      <c r="G187" s="306">
        <f t="shared" si="40"/>
        <v>0</v>
      </c>
      <c r="H187" s="306">
        <f t="shared" si="41"/>
        <v>0</v>
      </c>
      <c r="I187" s="305">
        <f>IFERROR(SUMIF(簡易陰圧装置!$C$30:$C$74,B187,簡易陰圧装置!$K$30:$K$74)*((簡易陰圧装置!$H$3-簡易陰圧装置!$I$3)/簡易陰圧装置!$H$3),0)</f>
        <v>0</v>
      </c>
      <c r="J187" s="306">
        <f t="shared" si="42"/>
        <v>0</v>
      </c>
      <c r="K187" s="305">
        <f>IFERROR(SUMIF(簡易ベッド!$C$30:$C$74,B187,簡易ベッド!$K$30:$K$74)*((簡易ベッド!$H$3-簡易ベッド!$I$3)/簡易ベッド!$H$3),0)</f>
        <v>0</v>
      </c>
      <c r="L187" s="306">
        <f t="shared" si="43"/>
        <v>0</v>
      </c>
      <c r="M187" s="305">
        <f>IFERROR(SUMIF(体外式膜型人工肺!$C$30:$C$74,B187,体外式膜型人工肺!$K$30:$K$74)*((体外式膜型人工肺!$H$3-体外式膜型人工肺!$I$3)/体外式膜型人工肺!$H$3),0)</f>
        <v>0</v>
      </c>
      <c r="N187" s="306">
        <f t="shared" si="44"/>
        <v>0</v>
      </c>
      <c r="O187" s="306">
        <f t="shared" si="45"/>
        <v>0</v>
      </c>
      <c r="P187" s="306">
        <f t="shared" si="46"/>
        <v>0</v>
      </c>
      <c r="Q187" s="305">
        <f>IFERROR(SUMIF(紫外線照射装置!$C$30:$C$74,B187,紫外線照射装置!$K$30:$K$74)*((紫外線照射装置!$H$3-紫外線照射装置!$I$3)/紫外線照射装置!$H$3),0)</f>
        <v>0</v>
      </c>
      <c r="R187" s="306">
        <f t="shared" si="47"/>
        <v>0</v>
      </c>
      <c r="S187" s="419">
        <f t="shared" si="48"/>
        <v>0</v>
      </c>
      <c r="T187" s="305">
        <f>IFERROR(SUMIF(超音波画像診断装置!$C$30:$C$74,B187,超音波画像診断装置!$K$30:$K$74)*((超音波画像診断装置!$H$3-超音波画像診断装置!$I$3)/超音波画像診断装置!$H$3),0)</f>
        <v>0</v>
      </c>
      <c r="U187" s="306">
        <f t="shared" si="49"/>
        <v>0</v>
      </c>
      <c r="V187" s="305">
        <f>IFERROR(SUMIF(血液浄化装置!$C$30:$C$74,B187,血液浄化装置!$K$30:$K$74)*((血液浄化装置!$H$3-血液浄化装置!$I$3)/血液浄化装置!$H$3),0)</f>
        <v>0</v>
      </c>
      <c r="W187" s="306">
        <f t="shared" si="50"/>
        <v>0</v>
      </c>
      <c r="X187" s="305">
        <f>IFERROR(SUMIF(気管支鏡!$C$30:$C$74,B187,気管支鏡!$K$30:$K$74)*((気管支鏡!$H$3-気管支鏡!$I$3)/気管支鏡!$H$3),0)</f>
        <v>0</v>
      </c>
      <c r="Y187" s="306">
        <f t="shared" si="36"/>
        <v>0</v>
      </c>
      <c r="Z187" s="305">
        <f>IFERROR(SUMIF(CT撮影装置!$C$30:$C$74,B187,CT撮影装置!$K$30:$K$74)*((CT撮影装置!$H$3-CT撮影装置!$I$3)/CT撮影装置!$H$3),0)</f>
        <v>0</v>
      </c>
      <c r="AA187" s="306">
        <f t="shared" si="51"/>
        <v>0</v>
      </c>
      <c r="AB187" s="305">
        <f>IFERROR(SUMIF(生体情報モニタ!$C$30:$C$74,B187,生体情報モニタ!$K$30:$K$74)*((生体情報モニタ!$H$3-生体情報モニタ!$I$3)/生体情報モニタ!$H$3),0)</f>
        <v>0</v>
      </c>
      <c r="AC187" s="306">
        <f t="shared" si="37"/>
        <v>0</v>
      </c>
      <c r="AD187" s="305">
        <f>IFERROR(SUMIF(分娩監視装置!$C$30:$C$74,B187,分娩監視装置!$K$30:$K$74)*((分娩監視装置!$H$3-分娩監視装置!$I$3)/分娩監視装置!$H$3),0)</f>
        <v>0</v>
      </c>
      <c r="AE187" s="306">
        <f t="shared" si="52"/>
        <v>0</v>
      </c>
      <c r="AF187" s="305">
        <f>IFERROR(SUMIF(新生児モニタ!$C$30:$C$74,B187,新生児モニタ!$K$30:$K$74)*((新生児モニタ!$H$3-新生児モニタ!$I$3)/新生児モニタ!$H$3),0)</f>
        <v>0</v>
      </c>
      <c r="AG187" s="306">
        <f t="shared" si="53"/>
        <v>0</v>
      </c>
    </row>
    <row r="188" spans="2:33">
      <c r="B188" s="283" t="s">
        <v>1001</v>
      </c>
      <c r="C188" s="305">
        <f>IFERROR(SUMIF(初度設備!$C$30:$C$74,B188,初度設備!$K$30:$K$74)*((初度設備!$H$3-初度設備!$I$3)/初度設備!$H$3),0)</f>
        <v>0</v>
      </c>
      <c r="D188" s="306">
        <f t="shared" si="38"/>
        <v>0</v>
      </c>
      <c r="E188" s="305">
        <f>IFERROR(SUMIF(人工呼吸器!$C$30:$C$74,B188,人工呼吸器!$K$30:$K$74)*((人工呼吸器!$H$3-人工呼吸器!$I$3)/人工呼吸器!$H$3),0)</f>
        <v>0</v>
      </c>
      <c r="F188" s="306">
        <f t="shared" si="39"/>
        <v>0</v>
      </c>
      <c r="G188" s="306">
        <f t="shared" si="40"/>
        <v>0</v>
      </c>
      <c r="H188" s="306">
        <f t="shared" si="41"/>
        <v>0</v>
      </c>
      <c r="I188" s="305">
        <f>IFERROR(SUMIF(簡易陰圧装置!$C$30:$C$74,B188,簡易陰圧装置!$K$30:$K$74)*((簡易陰圧装置!$H$3-簡易陰圧装置!$I$3)/簡易陰圧装置!$H$3),0)</f>
        <v>0</v>
      </c>
      <c r="J188" s="306">
        <f t="shared" si="42"/>
        <v>0</v>
      </c>
      <c r="K188" s="305">
        <f>IFERROR(SUMIF(簡易ベッド!$C$30:$C$74,B188,簡易ベッド!$K$30:$K$74)*((簡易ベッド!$H$3-簡易ベッド!$I$3)/簡易ベッド!$H$3),0)</f>
        <v>0</v>
      </c>
      <c r="L188" s="306">
        <f t="shared" si="43"/>
        <v>0</v>
      </c>
      <c r="M188" s="305">
        <f>IFERROR(SUMIF(体外式膜型人工肺!$C$30:$C$74,B188,体外式膜型人工肺!$K$30:$K$74)*((体外式膜型人工肺!$H$3-体外式膜型人工肺!$I$3)/体外式膜型人工肺!$H$3),0)</f>
        <v>0</v>
      </c>
      <c r="N188" s="306">
        <f t="shared" si="44"/>
        <v>0</v>
      </c>
      <c r="O188" s="306">
        <f t="shared" si="45"/>
        <v>0</v>
      </c>
      <c r="P188" s="306">
        <f t="shared" si="46"/>
        <v>0</v>
      </c>
      <c r="Q188" s="305">
        <f>IFERROR(SUMIF(紫外線照射装置!$C$30:$C$74,B188,紫外線照射装置!$K$30:$K$74)*((紫外線照射装置!$H$3-紫外線照射装置!$I$3)/紫外線照射装置!$H$3),0)</f>
        <v>0</v>
      </c>
      <c r="R188" s="306">
        <f t="shared" si="47"/>
        <v>0</v>
      </c>
      <c r="S188" s="419">
        <f t="shared" si="48"/>
        <v>0</v>
      </c>
      <c r="T188" s="305">
        <f>IFERROR(SUMIF(超音波画像診断装置!$C$30:$C$74,B188,超音波画像診断装置!$K$30:$K$74)*((超音波画像診断装置!$H$3-超音波画像診断装置!$I$3)/超音波画像診断装置!$H$3),0)</f>
        <v>0</v>
      </c>
      <c r="U188" s="306">
        <f t="shared" si="49"/>
        <v>0</v>
      </c>
      <c r="V188" s="305">
        <f>IFERROR(SUMIF(血液浄化装置!$C$30:$C$74,B188,血液浄化装置!$K$30:$K$74)*((血液浄化装置!$H$3-血液浄化装置!$I$3)/血液浄化装置!$H$3),0)</f>
        <v>0</v>
      </c>
      <c r="W188" s="306">
        <f t="shared" si="50"/>
        <v>0</v>
      </c>
      <c r="X188" s="305">
        <f>IFERROR(SUMIF(気管支鏡!$C$30:$C$74,B188,気管支鏡!$K$30:$K$74)*((気管支鏡!$H$3-気管支鏡!$I$3)/気管支鏡!$H$3),0)</f>
        <v>0</v>
      </c>
      <c r="Y188" s="306">
        <f t="shared" si="36"/>
        <v>0</v>
      </c>
      <c r="Z188" s="305">
        <f>IFERROR(SUMIF(CT撮影装置!$C$30:$C$74,B188,CT撮影装置!$K$30:$K$74)*((CT撮影装置!$H$3-CT撮影装置!$I$3)/CT撮影装置!$H$3),0)</f>
        <v>0</v>
      </c>
      <c r="AA188" s="306">
        <f t="shared" si="51"/>
        <v>0</v>
      </c>
      <c r="AB188" s="305">
        <f>IFERROR(SUMIF(生体情報モニタ!$C$30:$C$74,B188,生体情報モニタ!$K$30:$K$74)*((生体情報モニタ!$H$3-生体情報モニタ!$I$3)/生体情報モニタ!$H$3),0)</f>
        <v>0</v>
      </c>
      <c r="AC188" s="306">
        <f t="shared" si="37"/>
        <v>0</v>
      </c>
      <c r="AD188" s="305">
        <f>IFERROR(SUMIF(分娩監視装置!$C$30:$C$74,B188,分娩監視装置!$K$30:$K$74)*((分娩監視装置!$H$3-分娩監視装置!$I$3)/分娩監視装置!$H$3),0)</f>
        <v>0</v>
      </c>
      <c r="AE188" s="306">
        <f t="shared" si="52"/>
        <v>0</v>
      </c>
      <c r="AF188" s="305">
        <f>IFERROR(SUMIF(新生児モニタ!$C$30:$C$74,B188,新生児モニタ!$K$30:$K$74)*((新生児モニタ!$H$3-新生児モニタ!$I$3)/新生児モニタ!$H$3),0)</f>
        <v>0</v>
      </c>
      <c r="AG188" s="306">
        <f t="shared" si="53"/>
        <v>0</v>
      </c>
    </row>
    <row r="189" spans="2:33">
      <c r="B189" s="283" t="s">
        <v>1002</v>
      </c>
      <c r="C189" s="305">
        <f>IFERROR(SUMIF(初度設備!$C$30:$C$74,B189,初度設備!$K$30:$K$74)*((初度設備!$H$3-初度設備!$I$3)/初度設備!$H$3),0)</f>
        <v>0</v>
      </c>
      <c r="D189" s="306">
        <f t="shared" si="38"/>
        <v>0</v>
      </c>
      <c r="E189" s="305">
        <f>IFERROR(SUMIF(人工呼吸器!$C$30:$C$74,B189,人工呼吸器!$K$30:$K$74)*((人工呼吸器!$H$3-人工呼吸器!$I$3)/人工呼吸器!$H$3),0)</f>
        <v>0</v>
      </c>
      <c r="F189" s="306">
        <f t="shared" si="39"/>
        <v>0</v>
      </c>
      <c r="G189" s="306">
        <f t="shared" si="40"/>
        <v>0</v>
      </c>
      <c r="H189" s="306">
        <f t="shared" si="41"/>
        <v>0</v>
      </c>
      <c r="I189" s="305">
        <f>IFERROR(SUMIF(簡易陰圧装置!$C$30:$C$74,B189,簡易陰圧装置!$K$30:$K$74)*((簡易陰圧装置!$H$3-簡易陰圧装置!$I$3)/簡易陰圧装置!$H$3),0)</f>
        <v>0</v>
      </c>
      <c r="J189" s="306">
        <f t="shared" si="42"/>
        <v>0</v>
      </c>
      <c r="K189" s="305">
        <f>IFERROR(SUMIF(簡易ベッド!$C$30:$C$74,B189,簡易ベッド!$K$30:$K$74)*((簡易ベッド!$H$3-簡易ベッド!$I$3)/簡易ベッド!$H$3),0)</f>
        <v>0</v>
      </c>
      <c r="L189" s="306">
        <f t="shared" si="43"/>
        <v>0</v>
      </c>
      <c r="M189" s="305">
        <f>IFERROR(SUMIF(体外式膜型人工肺!$C$30:$C$74,B189,体外式膜型人工肺!$K$30:$K$74)*((体外式膜型人工肺!$H$3-体外式膜型人工肺!$I$3)/体外式膜型人工肺!$H$3),0)</f>
        <v>0</v>
      </c>
      <c r="N189" s="306">
        <f t="shared" si="44"/>
        <v>0</v>
      </c>
      <c r="O189" s="306">
        <f t="shared" si="45"/>
        <v>0</v>
      </c>
      <c r="P189" s="306">
        <f t="shared" si="46"/>
        <v>0</v>
      </c>
      <c r="Q189" s="305">
        <f>IFERROR(SUMIF(紫外線照射装置!$C$30:$C$74,B189,紫外線照射装置!$K$30:$K$74)*((紫外線照射装置!$H$3-紫外線照射装置!$I$3)/紫外線照射装置!$H$3),0)</f>
        <v>0</v>
      </c>
      <c r="R189" s="306">
        <f t="shared" si="47"/>
        <v>0</v>
      </c>
      <c r="S189" s="419">
        <f t="shared" si="48"/>
        <v>0</v>
      </c>
      <c r="T189" s="305">
        <f>IFERROR(SUMIF(超音波画像診断装置!$C$30:$C$74,B189,超音波画像診断装置!$K$30:$K$74)*((超音波画像診断装置!$H$3-超音波画像診断装置!$I$3)/超音波画像診断装置!$H$3),0)</f>
        <v>0</v>
      </c>
      <c r="U189" s="306">
        <f t="shared" si="49"/>
        <v>0</v>
      </c>
      <c r="V189" s="305">
        <f>IFERROR(SUMIF(血液浄化装置!$C$30:$C$74,B189,血液浄化装置!$K$30:$K$74)*((血液浄化装置!$H$3-血液浄化装置!$I$3)/血液浄化装置!$H$3),0)</f>
        <v>0</v>
      </c>
      <c r="W189" s="306">
        <f t="shared" si="50"/>
        <v>0</v>
      </c>
      <c r="X189" s="305">
        <f>IFERROR(SUMIF(気管支鏡!$C$30:$C$74,B189,気管支鏡!$K$30:$K$74)*((気管支鏡!$H$3-気管支鏡!$I$3)/気管支鏡!$H$3),0)</f>
        <v>0</v>
      </c>
      <c r="Y189" s="306">
        <f t="shared" si="36"/>
        <v>0</v>
      </c>
      <c r="Z189" s="305">
        <f>IFERROR(SUMIF(CT撮影装置!$C$30:$C$74,B189,CT撮影装置!$K$30:$K$74)*((CT撮影装置!$H$3-CT撮影装置!$I$3)/CT撮影装置!$H$3),0)</f>
        <v>0</v>
      </c>
      <c r="AA189" s="306">
        <f t="shared" si="51"/>
        <v>0</v>
      </c>
      <c r="AB189" s="305">
        <f>IFERROR(SUMIF(生体情報モニタ!$C$30:$C$74,B189,生体情報モニタ!$K$30:$K$74)*((生体情報モニタ!$H$3-生体情報モニタ!$I$3)/生体情報モニタ!$H$3),0)</f>
        <v>0</v>
      </c>
      <c r="AC189" s="306">
        <f t="shared" si="37"/>
        <v>0</v>
      </c>
      <c r="AD189" s="305">
        <f>IFERROR(SUMIF(分娩監視装置!$C$30:$C$74,B189,分娩監視装置!$K$30:$K$74)*((分娩監視装置!$H$3-分娩監視装置!$I$3)/分娩監視装置!$H$3),0)</f>
        <v>0</v>
      </c>
      <c r="AE189" s="306">
        <f t="shared" si="52"/>
        <v>0</v>
      </c>
      <c r="AF189" s="305">
        <f>IFERROR(SUMIF(新生児モニタ!$C$30:$C$74,B189,新生児モニタ!$K$30:$K$74)*((新生児モニタ!$H$3-新生児モニタ!$I$3)/新生児モニタ!$H$3),0)</f>
        <v>0</v>
      </c>
      <c r="AG189" s="306">
        <f t="shared" si="53"/>
        <v>0</v>
      </c>
    </row>
    <row r="190" spans="2:33">
      <c r="B190" s="283" t="s">
        <v>1003</v>
      </c>
      <c r="C190" s="305">
        <f>IFERROR(SUMIF(初度設備!$C$30:$C$74,B190,初度設備!$K$30:$K$74)*((初度設備!$H$3-初度設備!$I$3)/初度設備!$H$3),0)</f>
        <v>0</v>
      </c>
      <c r="D190" s="306">
        <f t="shared" si="38"/>
        <v>0</v>
      </c>
      <c r="E190" s="305">
        <f>IFERROR(SUMIF(人工呼吸器!$C$30:$C$74,B190,人工呼吸器!$K$30:$K$74)*((人工呼吸器!$H$3-人工呼吸器!$I$3)/人工呼吸器!$H$3),0)</f>
        <v>0</v>
      </c>
      <c r="F190" s="306">
        <f t="shared" si="39"/>
        <v>0</v>
      </c>
      <c r="G190" s="306">
        <f t="shared" si="40"/>
        <v>0</v>
      </c>
      <c r="H190" s="306">
        <f t="shared" si="41"/>
        <v>0</v>
      </c>
      <c r="I190" s="305">
        <f>IFERROR(SUMIF(簡易陰圧装置!$C$30:$C$74,B190,簡易陰圧装置!$K$30:$K$74)*((簡易陰圧装置!$H$3-簡易陰圧装置!$I$3)/簡易陰圧装置!$H$3),0)</f>
        <v>0</v>
      </c>
      <c r="J190" s="306">
        <f t="shared" si="42"/>
        <v>0</v>
      </c>
      <c r="K190" s="305">
        <f>IFERROR(SUMIF(簡易ベッド!$C$30:$C$74,B190,簡易ベッド!$K$30:$K$74)*((簡易ベッド!$H$3-簡易ベッド!$I$3)/簡易ベッド!$H$3),0)</f>
        <v>0</v>
      </c>
      <c r="L190" s="306">
        <f t="shared" si="43"/>
        <v>0</v>
      </c>
      <c r="M190" s="305">
        <f>IFERROR(SUMIF(体外式膜型人工肺!$C$30:$C$74,B190,体外式膜型人工肺!$K$30:$K$74)*((体外式膜型人工肺!$H$3-体外式膜型人工肺!$I$3)/体外式膜型人工肺!$H$3),0)</f>
        <v>0</v>
      </c>
      <c r="N190" s="306">
        <f t="shared" si="44"/>
        <v>0</v>
      </c>
      <c r="O190" s="306">
        <f t="shared" si="45"/>
        <v>0</v>
      </c>
      <c r="P190" s="306">
        <f t="shared" si="46"/>
        <v>0</v>
      </c>
      <c r="Q190" s="305">
        <f>IFERROR(SUMIF(紫外線照射装置!$C$30:$C$74,B190,紫外線照射装置!$K$30:$K$74)*((紫外線照射装置!$H$3-紫外線照射装置!$I$3)/紫外線照射装置!$H$3),0)</f>
        <v>0</v>
      </c>
      <c r="R190" s="306">
        <f t="shared" si="47"/>
        <v>0</v>
      </c>
      <c r="S190" s="419">
        <f t="shared" si="48"/>
        <v>0</v>
      </c>
      <c r="T190" s="305">
        <f>IFERROR(SUMIF(超音波画像診断装置!$C$30:$C$74,B190,超音波画像診断装置!$K$30:$K$74)*((超音波画像診断装置!$H$3-超音波画像診断装置!$I$3)/超音波画像診断装置!$H$3),0)</f>
        <v>0</v>
      </c>
      <c r="U190" s="306">
        <f t="shared" si="49"/>
        <v>0</v>
      </c>
      <c r="V190" s="305">
        <f>IFERROR(SUMIF(血液浄化装置!$C$30:$C$74,B190,血液浄化装置!$K$30:$K$74)*((血液浄化装置!$H$3-血液浄化装置!$I$3)/血液浄化装置!$H$3),0)</f>
        <v>0</v>
      </c>
      <c r="W190" s="306">
        <f t="shared" si="50"/>
        <v>0</v>
      </c>
      <c r="X190" s="305">
        <f>IFERROR(SUMIF(気管支鏡!$C$30:$C$74,B190,気管支鏡!$K$30:$K$74)*((気管支鏡!$H$3-気管支鏡!$I$3)/気管支鏡!$H$3),0)</f>
        <v>0</v>
      </c>
      <c r="Y190" s="306">
        <f t="shared" si="36"/>
        <v>0</v>
      </c>
      <c r="Z190" s="305">
        <f>IFERROR(SUMIF(CT撮影装置!$C$30:$C$74,B190,CT撮影装置!$K$30:$K$74)*((CT撮影装置!$H$3-CT撮影装置!$I$3)/CT撮影装置!$H$3),0)</f>
        <v>0</v>
      </c>
      <c r="AA190" s="306">
        <f t="shared" si="51"/>
        <v>0</v>
      </c>
      <c r="AB190" s="305">
        <f>IFERROR(SUMIF(生体情報モニタ!$C$30:$C$74,B190,生体情報モニタ!$K$30:$K$74)*((生体情報モニタ!$H$3-生体情報モニタ!$I$3)/生体情報モニタ!$H$3),0)</f>
        <v>0</v>
      </c>
      <c r="AC190" s="306">
        <f t="shared" si="37"/>
        <v>0</v>
      </c>
      <c r="AD190" s="305">
        <f>IFERROR(SUMIF(分娩監視装置!$C$30:$C$74,B190,分娩監視装置!$K$30:$K$74)*((分娩監視装置!$H$3-分娩監視装置!$I$3)/分娩監視装置!$H$3),0)</f>
        <v>0</v>
      </c>
      <c r="AE190" s="306">
        <f t="shared" si="52"/>
        <v>0</v>
      </c>
      <c r="AF190" s="305">
        <f>IFERROR(SUMIF(新生児モニタ!$C$30:$C$74,B190,新生児モニタ!$K$30:$K$74)*((新生児モニタ!$H$3-新生児モニタ!$I$3)/新生児モニタ!$H$3),0)</f>
        <v>0</v>
      </c>
      <c r="AG190" s="306">
        <f t="shared" si="53"/>
        <v>0</v>
      </c>
    </row>
    <row r="191" spans="2:33">
      <c r="B191" s="283" t="s">
        <v>1004</v>
      </c>
      <c r="C191" s="305">
        <f>IFERROR(SUMIF(初度設備!$C$30:$C$74,B191,初度設備!$K$30:$K$74)*((初度設備!$H$3-初度設備!$I$3)/初度設備!$H$3),0)</f>
        <v>0</v>
      </c>
      <c r="D191" s="306">
        <f t="shared" si="38"/>
        <v>0</v>
      </c>
      <c r="E191" s="305">
        <f>IFERROR(SUMIF(人工呼吸器!$C$30:$C$74,B191,人工呼吸器!$K$30:$K$74)*((人工呼吸器!$H$3-人工呼吸器!$I$3)/人工呼吸器!$H$3),0)</f>
        <v>0</v>
      </c>
      <c r="F191" s="306">
        <f t="shared" si="39"/>
        <v>0</v>
      </c>
      <c r="G191" s="306">
        <f t="shared" si="40"/>
        <v>0</v>
      </c>
      <c r="H191" s="306">
        <f t="shared" si="41"/>
        <v>0</v>
      </c>
      <c r="I191" s="305">
        <f>IFERROR(SUMIF(簡易陰圧装置!$C$30:$C$74,B191,簡易陰圧装置!$K$30:$K$74)*((簡易陰圧装置!$H$3-簡易陰圧装置!$I$3)/簡易陰圧装置!$H$3),0)</f>
        <v>0</v>
      </c>
      <c r="J191" s="306">
        <f t="shared" si="42"/>
        <v>0</v>
      </c>
      <c r="K191" s="305">
        <f>IFERROR(SUMIF(簡易ベッド!$C$30:$C$74,B191,簡易ベッド!$K$30:$K$74)*((簡易ベッド!$H$3-簡易ベッド!$I$3)/簡易ベッド!$H$3),0)</f>
        <v>0</v>
      </c>
      <c r="L191" s="306">
        <f t="shared" si="43"/>
        <v>0</v>
      </c>
      <c r="M191" s="305">
        <f>IFERROR(SUMIF(体外式膜型人工肺!$C$30:$C$74,B191,体外式膜型人工肺!$K$30:$K$74)*((体外式膜型人工肺!$H$3-体外式膜型人工肺!$I$3)/体外式膜型人工肺!$H$3),0)</f>
        <v>0</v>
      </c>
      <c r="N191" s="306">
        <f t="shared" si="44"/>
        <v>0</v>
      </c>
      <c r="O191" s="306">
        <f t="shared" si="45"/>
        <v>0</v>
      </c>
      <c r="P191" s="306">
        <f t="shared" si="46"/>
        <v>0</v>
      </c>
      <c r="Q191" s="305">
        <f>IFERROR(SUMIF(紫外線照射装置!$C$30:$C$74,B191,紫外線照射装置!$K$30:$K$74)*((紫外線照射装置!$H$3-紫外線照射装置!$I$3)/紫外線照射装置!$H$3),0)</f>
        <v>0</v>
      </c>
      <c r="R191" s="306">
        <f t="shared" si="47"/>
        <v>0</v>
      </c>
      <c r="S191" s="419">
        <f t="shared" si="48"/>
        <v>0</v>
      </c>
      <c r="T191" s="305">
        <f>IFERROR(SUMIF(超音波画像診断装置!$C$30:$C$74,B191,超音波画像診断装置!$K$30:$K$74)*((超音波画像診断装置!$H$3-超音波画像診断装置!$I$3)/超音波画像診断装置!$H$3),0)</f>
        <v>0</v>
      </c>
      <c r="U191" s="306">
        <f t="shared" si="49"/>
        <v>0</v>
      </c>
      <c r="V191" s="305">
        <f>IFERROR(SUMIF(血液浄化装置!$C$30:$C$74,B191,血液浄化装置!$K$30:$K$74)*((血液浄化装置!$H$3-血液浄化装置!$I$3)/血液浄化装置!$H$3),0)</f>
        <v>0</v>
      </c>
      <c r="W191" s="306">
        <f t="shared" si="50"/>
        <v>0</v>
      </c>
      <c r="X191" s="305">
        <f>IFERROR(SUMIF(気管支鏡!$C$30:$C$74,B191,気管支鏡!$K$30:$K$74)*((気管支鏡!$H$3-気管支鏡!$I$3)/気管支鏡!$H$3),0)</f>
        <v>0</v>
      </c>
      <c r="Y191" s="306">
        <f t="shared" si="36"/>
        <v>0</v>
      </c>
      <c r="Z191" s="305">
        <f>IFERROR(SUMIF(CT撮影装置!$C$30:$C$74,B191,CT撮影装置!$K$30:$K$74)*((CT撮影装置!$H$3-CT撮影装置!$I$3)/CT撮影装置!$H$3),0)</f>
        <v>0</v>
      </c>
      <c r="AA191" s="306">
        <f t="shared" si="51"/>
        <v>0</v>
      </c>
      <c r="AB191" s="305">
        <f>IFERROR(SUMIF(生体情報モニタ!$C$30:$C$74,B191,生体情報モニタ!$K$30:$K$74)*((生体情報モニタ!$H$3-生体情報モニタ!$I$3)/生体情報モニタ!$H$3),0)</f>
        <v>0</v>
      </c>
      <c r="AC191" s="306">
        <f t="shared" si="37"/>
        <v>0</v>
      </c>
      <c r="AD191" s="305">
        <f>IFERROR(SUMIF(分娩監視装置!$C$30:$C$74,B191,分娩監視装置!$K$30:$K$74)*((分娩監視装置!$H$3-分娩監視装置!$I$3)/分娩監視装置!$H$3),0)</f>
        <v>0</v>
      </c>
      <c r="AE191" s="306">
        <f t="shared" si="52"/>
        <v>0</v>
      </c>
      <c r="AF191" s="305">
        <f>IFERROR(SUMIF(新生児モニタ!$C$30:$C$74,B191,新生児モニタ!$K$30:$K$74)*((新生児モニタ!$H$3-新生児モニタ!$I$3)/新生児モニタ!$H$3),0)</f>
        <v>0</v>
      </c>
      <c r="AG191" s="306">
        <f t="shared" si="53"/>
        <v>0</v>
      </c>
    </row>
    <row r="192" spans="2:33">
      <c r="B192" s="283" t="s">
        <v>1005</v>
      </c>
      <c r="C192" s="305">
        <f>IFERROR(SUMIF(初度設備!$C$30:$C$74,B192,初度設備!$K$30:$K$74)*((初度設備!$H$3-初度設備!$I$3)/初度設備!$H$3),0)</f>
        <v>0</v>
      </c>
      <c r="D192" s="306">
        <f t="shared" si="38"/>
        <v>0</v>
      </c>
      <c r="E192" s="305">
        <f>IFERROR(SUMIF(人工呼吸器!$C$30:$C$74,B192,人工呼吸器!$K$30:$K$74)*((人工呼吸器!$H$3-人工呼吸器!$I$3)/人工呼吸器!$H$3),0)</f>
        <v>0</v>
      </c>
      <c r="F192" s="306">
        <f t="shared" si="39"/>
        <v>0</v>
      </c>
      <c r="G192" s="306">
        <f t="shared" si="40"/>
        <v>0</v>
      </c>
      <c r="H192" s="306">
        <f t="shared" si="41"/>
        <v>0</v>
      </c>
      <c r="I192" s="305">
        <f>IFERROR(SUMIF(簡易陰圧装置!$C$30:$C$74,B192,簡易陰圧装置!$K$30:$K$74)*((簡易陰圧装置!$H$3-簡易陰圧装置!$I$3)/簡易陰圧装置!$H$3),0)</f>
        <v>0</v>
      </c>
      <c r="J192" s="306">
        <f t="shared" si="42"/>
        <v>0</v>
      </c>
      <c r="K192" s="305">
        <f>IFERROR(SUMIF(簡易ベッド!$C$30:$C$74,B192,簡易ベッド!$K$30:$K$74)*((簡易ベッド!$H$3-簡易ベッド!$I$3)/簡易ベッド!$H$3),0)</f>
        <v>0</v>
      </c>
      <c r="L192" s="306">
        <f t="shared" si="43"/>
        <v>0</v>
      </c>
      <c r="M192" s="305">
        <f>IFERROR(SUMIF(体外式膜型人工肺!$C$30:$C$74,B192,体外式膜型人工肺!$K$30:$K$74)*((体外式膜型人工肺!$H$3-体外式膜型人工肺!$I$3)/体外式膜型人工肺!$H$3),0)</f>
        <v>0</v>
      </c>
      <c r="N192" s="306">
        <f t="shared" si="44"/>
        <v>0</v>
      </c>
      <c r="O192" s="306">
        <f t="shared" si="45"/>
        <v>0</v>
      </c>
      <c r="P192" s="306">
        <f t="shared" si="46"/>
        <v>0</v>
      </c>
      <c r="Q192" s="305">
        <f>IFERROR(SUMIF(紫外線照射装置!$C$30:$C$74,B192,紫外線照射装置!$K$30:$K$74)*((紫外線照射装置!$H$3-紫外線照射装置!$I$3)/紫外線照射装置!$H$3),0)</f>
        <v>0</v>
      </c>
      <c r="R192" s="306">
        <f t="shared" si="47"/>
        <v>0</v>
      </c>
      <c r="S192" s="419">
        <f t="shared" si="48"/>
        <v>0</v>
      </c>
      <c r="T192" s="305">
        <f>IFERROR(SUMIF(超音波画像診断装置!$C$30:$C$74,B192,超音波画像診断装置!$K$30:$K$74)*((超音波画像診断装置!$H$3-超音波画像診断装置!$I$3)/超音波画像診断装置!$H$3),0)</f>
        <v>0</v>
      </c>
      <c r="U192" s="306">
        <f t="shared" si="49"/>
        <v>0</v>
      </c>
      <c r="V192" s="305">
        <f>IFERROR(SUMIF(血液浄化装置!$C$30:$C$74,B192,血液浄化装置!$K$30:$K$74)*((血液浄化装置!$H$3-血液浄化装置!$I$3)/血液浄化装置!$H$3),0)</f>
        <v>0</v>
      </c>
      <c r="W192" s="306">
        <f t="shared" si="50"/>
        <v>0</v>
      </c>
      <c r="X192" s="305">
        <f>IFERROR(SUMIF(気管支鏡!$C$30:$C$74,B192,気管支鏡!$K$30:$K$74)*((気管支鏡!$H$3-気管支鏡!$I$3)/気管支鏡!$H$3),0)</f>
        <v>0</v>
      </c>
      <c r="Y192" s="306">
        <f t="shared" si="36"/>
        <v>0</v>
      </c>
      <c r="Z192" s="305">
        <f>IFERROR(SUMIF(CT撮影装置!$C$30:$C$74,B192,CT撮影装置!$K$30:$K$74)*((CT撮影装置!$H$3-CT撮影装置!$I$3)/CT撮影装置!$H$3),0)</f>
        <v>0</v>
      </c>
      <c r="AA192" s="306">
        <f t="shared" si="51"/>
        <v>0</v>
      </c>
      <c r="AB192" s="305">
        <f>IFERROR(SUMIF(生体情報モニタ!$C$30:$C$74,B192,生体情報モニタ!$K$30:$K$74)*((生体情報モニタ!$H$3-生体情報モニタ!$I$3)/生体情報モニタ!$H$3),0)</f>
        <v>0</v>
      </c>
      <c r="AC192" s="306">
        <f t="shared" si="37"/>
        <v>0</v>
      </c>
      <c r="AD192" s="305">
        <f>IFERROR(SUMIF(分娩監視装置!$C$30:$C$74,B192,分娩監視装置!$K$30:$K$74)*((分娩監視装置!$H$3-分娩監視装置!$I$3)/分娩監視装置!$H$3),0)</f>
        <v>0</v>
      </c>
      <c r="AE192" s="306">
        <f t="shared" si="52"/>
        <v>0</v>
      </c>
      <c r="AF192" s="305">
        <f>IFERROR(SUMIF(新生児モニタ!$C$30:$C$74,B192,新生児モニタ!$K$30:$K$74)*((新生児モニタ!$H$3-新生児モニタ!$I$3)/新生児モニタ!$H$3),0)</f>
        <v>0</v>
      </c>
      <c r="AG192" s="306">
        <f t="shared" si="53"/>
        <v>0</v>
      </c>
    </row>
    <row r="193" spans="2:33">
      <c r="B193" s="283" t="s">
        <v>1006</v>
      </c>
      <c r="C193" s="305">
        <f>IFERROR(SUMIF(初度設備!$C$30:$C$74,B193,初度設備!$K$30:$K$74)*((初度設備!$H$3-初度設備!$I$3)/初度設備!$H$3),0)</f>
        <v>0</v>
      </c>
      <c r="D193" s="306">
        <f t="shared" si="38"/>
        <v>0</v>
      </c>
      <c r="E193" s="305">
        <f>IFERROR(SUMIF(人工呼吸器!$C$30:$C$74,B193,人工呼吸器!$K$30:$K$74)*((人工呼吸器!$H$3-人工呼吸器!$I$3)/人工呼吸器!$H$3),0)</f>
        <v>0</v>
      </c>
      <c r="F193" s="306">
        <f t="shared" si="39"/>
        <v>0</v>
      </c>
      <c r="G193" s="306">
        <f t="shared" si="40"/>
        <v>0</v>
      </c>
      <c r="H193" s="306">
        <f t="shared" si="41"/>
        <v>0</v>
      </c>
      <c r="I193" s="305">
        <f>IFERROR(SUMIF(簡易陰圧装置!$C$30:$C$74,B193,簡易陰圧装置!$K$30:$K$74)*((簡易陰圧装置!$H$3-簡易陰圧装置!$I$3)/簡易陰圧装置!$H$3),0)</f>
        <v>0</v>
      </c>
      <c r="J193" s="306">
        <f t="shared" si="42"/>
        <v>0</v>
      </c>
      <c r="K193" s="305">
        <f>IFERROR(SUMIF(簡易ベッド!$C$30:$C$74,B193,簡易ベッド!$K$30:$K$74)*((簡易ベッド!$H$3-簡易ベッド!$I$3)/簡易ベッド!$H$3),0)</f>
        <v>0</v>
      </c>
      <c r="L193" s="306">
        <f t="shared" si="43"/>
        <v>0</v>
      </c>
      <c r="M193" s="305">
        <f>IFERROR(SUMIF(体外式膜型人工肺!$C$30:$C$74,B193,体外式膜型人工肺!$K$30:$K$74)*((体外式膜型人工肺!$H$3-体外式膜型人工肺!$I$3)/体外式膜型人工肺!$H$3),0)</f>
        <v>0</v>
      </c>
      <c r="N193" s="306">
        <f t="shared" si="44"/>
        <v>0</v>
      </c>
      <c r="O193" s="306">
        <f t="shared" si="45"/>
        <v>0</v>
      </c>
      <c r="P193" s="306">
        <f t="shared" si="46"/>
        <v>0</v>
      </c>
      <c r="Q193" s="305">
        <f>IFERROR(SUMIF(紫外線照射装置!$C$30:$C$74,B193,紫外線照射装置!$K$30:$K$74)*((紫外線照射装置!$H$3-紫外線照射装置!$I$3)/紫外線照射装置!$H$3),0)</f>
        <v>0</v>
      </c>
      <c r="R193" s="306">
        <f t="shared" si="47"/>
        <v>0</v>
      </c>
      <c r="S193" s="419">
        <f t="shared" si="48"/>
        <v>0</v>
      </c>
      <c r="T193" s="305">
        <f>IFERROR(SUMIF(超音波画像診断装置!$C$30:$C$74,B193,超音波画像診断装置!$K$30:$K$74)*((超音波画像診断装置!$H$3-超音波画像診断装置!$I$3)/超音波画像診断装置!$H$3),0)</f>
        <v>0</v>
      </c>
      <c r="U193" s="306">
        <f t="shared" si="49"/>
        <v>0</v>
      </c>
      <c r="V193" s="305">
        <f>IFERROR(SUMIF(血液浄化装置!$C$30:$C$74,B193,血液浄化装置!$K$30:$K$74)*((血液浄化装置!$H$3-血液浄化装置!$I$3)/血液浄化装置!$H$3),0)</f>
        <v>0</v>
      </c>
      <c r="W193" s="306">
        <f t="shared" si="50"/>
        <v>0</v>
      </c>
      <c r="X193" s="305">
        <f>IFERROR(SUMIF(気管支鏡!$C$30:$C$74,B193,気管支鏡!$K$30:$K$74)*((気管支鏡!$H$3-気管支鏡!$I$3)/気管支鏡!$H$3),0)</f>
        <v>0</v>
      </c>
      <c r="Y193" s="306">
        <f t="shared" si="36"/>
        <v>0</v>
      </c>
      <c r="Z193" s="305">
        <f>IFERROR(SUMIF(CT撮影装置!$C$30:$C$74,B193,CT撮影装置!$K$30:$K$74)*((CT撮影装置!$H$3-CT撮影装置!$I$3)/CT撮影装置!$H$3),0)</f>
        <v>0</v>
      </c>
      <c r="AA193" s="306">
        <f t="shared" si="51"/>
        <v>0</v>
      </c>
      <c r="AB193" s="305">
        <f>IFERROR(SUMIF(生体情報モニタ!$C$30:$C$74,B193,生体情報モニタ!$K$30:$K$74)*((生体情報モニタ!$H$3-生体情報モニタ!$I$3)/生体情報モニタ!$H$3),0)</f>
        <v>0</v>
      </c>
      <c r="AC193" s="306">
        <f t="shared" si="37"/>
        <v>0</v>
      </c>
      <c r="AD193" s="305">
        <f>IFERROR(SUMIF(分娩監視装置!$C$30:$C$74,B193,分娩監視装置!$K$30:$K$74)*((分娩監視装置!$H$3-分娩監視装置!$I$3)/分娩監視装置!$H$3),0)</f>
        <v>0</v>
      </c>
      <c r="AE193" s="306">
        <f t="shared" si="52"/>
        <v>0</v>
      </c>
      <c r="AF193" s="305">
        <f>IFERROR(SUMIF(新生児モニタ!$C$30:$C$74,B193,新生児モニタ!$K$30:$K$74)*((新生児モニタ!$H$3-新生児モニタ!$I$3)/新生児モニタ!$H$3),0)</f>
        <v>0</v>
      </c>
      <c r="AG193" s="306">
        <f t="shared" si="53"/>
        <v>0</v>
      </c>
    </row>
    <row r="194" spans="2:33">
      <c r="B194" s="283" t="s">
        <v>1007</v>
      </c>
      <c r="C194" s="305">
        <f>IFERROR(SUMIF(初度設備!$C$30:$C$74,B194,初度設備!$K$30:$K$74)*((初度設備!$H$3-初度設備!$I$3)/初度設備!$H$3),0)</f>
        <v>0</v>
      </c>
      <c r="D194" s="306">
        <f t="shared" si="38"/>
        <v>0</v>
      </c>
      <c r="E194" s="305">
        <f>IFERROR(SUMIF(人工呼吸器!$C$30:$C$74,B194,人工呼吸器!$K$30:$K$74)*((人工呼吸器!$H$3-人工呼吸器!$I$3)/人工呼吸器!$H$3),0)</f>
        <v>0</v>
      </c>
      <c r="F194" s="306">
        <f t="shared" si="39"/>
        <v>0</v>
      </c>
      <c r="G194" s="306">
        <f t="shared" si="40"/>
        <v>0</v>
      </c>
      <c r="H194" s="306">
        <f t="shared" si="41"/>
        <v>0</v>
      </c>
      <c r="I194" s="305">
        <f>IFERROR(SUMIF(簡易陰圧装置!$C$30:$C$74,B194,簡易陰圧装置!$K$30:$K$74)*((簡易陰圧装置!$H$3-簡易陰圧装置!$I$3)/簡易陰圧装置!$H$3),0)</f>
        <v>0</v>
      </c>
      <c r="J194" s="306">
        <f t="shared" si="42"/>
        <v>0</v>
      </c>
      <c r="K194" s="305">
        <f>IFERROR(SUMIF(簡易ベッド!$C$30:$C$74,B194,簡易ベッド!$K$30:$K$74)*((簡易ベッド!$H$3-簡易ベッド!$I$3)/簡易ベッド!$H$3),0)</f>
        <v>0</v>
      </c>
      <c r="L194" s="306">
        <f t="shared" si="43"/>
        <v>0</v>
      </c>
      <c r="M194" s="305">
        <f>IFERROR(SUMIF(体外式膜型人工肺!$C$30:$C$74,B194,体外式膜型人工肺!$K$30:$K$74)*((体外式膜型人工肺!$H$3-体外式膜型人工肺!$I$3)/体外式膜型人工肺!$H$3),0)</f>
        <v>0</v>
      </c>
      <c r="N194" s="306">
        <f t="shared" si="44"/>
        <v>0</v>
      </c>
      <c r="O194" s="306">
        <f t="shared" si="45"/>
        <v>0</v>
      </c>
      <c r="P194" s="306">
        <f t="shared" si="46"/>
        <v>0</v>
      </c>
      <c r="Q194" s="305">
        <f>IFERROR(SUMIF(紫外線照射装置!$C$30:$C$74,B194,紫外線照射装置!$K$30:$K$74)*((紫外線照射装置!$H$3-紫外線照射装置!$I$3)/紫外線照射装置!$H$3),0)</f>
        <v>0</v>
      </c>
      <c r="R194" s="306">
        <f t="shared" si="47"/>
        <v>0</v>
      </c>
      <c r="S194" s="419">
        <f t="shared" si="48"/>
        <v>0</v>
      </c>
      <c r="T194" s="305">
        <f>IFERROR(SUMIF(超音波画像診断装置!$C$30:$C$74,B194,超音波画像診断装置!$K$30:$K$74)*((超音波画像診断装置!$H$3-超音波画像診断装置!$I$3)/超音波画像診断装置!$H$3),0)</f>
        <v>0</v>
      </c>
      <c r="U194" s="306">
        <f t="shared" si="49"/>
        <v>0</v>
      </c>
      <c r="V194" s="305">
        <f>IFERROR(SUMIF(血液浄化装置!$C$30:$C$74,B194,血液浄化装置!$K$30:$K$74)*((血液浄化装置!$H$3-血液浄化装置!$I$3)/血液浄化装置!$H$3),0)</f>
        <v>0</v>
      </c>
      <c r="W194" s="306">
        <f t="shared" si="50"/>
        <v>0</v>
      </c>
      <c r="X194" s="305">
        <f>IFERROR(SUMIF(気管支鏡!$C$30:$C$74,B194,気管支鏡!$K$30:$K$74)*((気管支鏡!$H$3-気管支鏡!$I$3)/気管支鏡!$H$3),0)</f>
        <v>0</v>
      </c>
      <c r="Y194" s="306">
        <f t="shared" si="36"/>
        <v>0</v>
      </c>
      <c r="Z194" s="305">
        <f>IFERROR(SUMIF(CT撮影装置!$C$30:$C$74,B194,CT撮影装置!$K$30:$K$74)*((CT撮影装置!$H$3-CT撮影装置!$I$3)/CT撮影装置!$H$3),0)</f>
        <v>0</v>
      </c>
      <c r="AA194" s="306">
        <f t="shared" si="51"/>
        <v>0</v>
      </c>
      <c r="AB194" s="305">
        <f>IFERROR(SUMIF(生体情報モニタ!$C$30:$C$74,B194,生体情報モニタ!$K$30:$K$74)*((生体情報モニタ!$H$3-生体情報モニタ!$I$3)/生体情報モニタ!$H$3),0)</f>
        <v>0</v>
      </c>
      <c r="AC194" s="306">
        <f t="shared" si="37"/>
        <v>0</v>
      </c>
      <c r="AD194" s="305">
        <f>IFERROR(SUMIF(分娩監視装置!$C$30:$C$74,B194,分娩監視装置!$K$30:$K$74)*((分娩監視装置!$H$3-分娩監視装置!$I$3)/分娩監視装置!$H$3),0)</f>
        <v>0</v>
      </c>
      <c r="AE194" s="306">
        <f t="shared" si="52"/>
        <v>0</v>
      </c>
      <c r="AF194" s="305">
        <f>IFERROR(SUMIF(新生児モニタ!$C$30:$C$74,B194,新生児モニタ!$K$30:$K$74)*((新生児モニタ!$H$3-新生児モニタ!$I$3)/新生児モニタ!$H$3),0)</f>
        <v>0</v>
      </c>
      <c r="AG194" s="306">
        <f t="shared" si="53"/>
        <v>0</v>
      </c>
    </row>
    <row r="195" spans="2:33">
      <c r="B195" s="283" t="s">
        <v>1008</v>
      </c>
      <c r="C195" s="305">
        <f>IFERROR(SUMIF(初度設備!$C$30:$C$74,B195,初度設備!$K$30:$K$74)*((初度設備!$H$3-初度設備!$I$3)/初度設備!$H$3),0)</f>
        <v>0</v>
      </c>
      <c r="D195" s="306">
        <f t="shared" si="38"/>
        <v>0</v>
      </c>
      <c r="E195" s="305">
        <f>IFERROR(SUMIF(人工呼吸器!$C$30:$C$74,B195,人工呼吸器!$K$30:$K$74)*((人工呼吸器!$H$3-人工呼吸器!$I$3)/人工呼吸器!$H$3),0)</f>
        <v>0</v>
      </c>
      <c r="F195" s="306">
        <f t="shared" si="39"/>
        <v>0</v>
      </c>
      <c r="G195" s="306">
        <f t="shared" si="40"/>
        <v>0</v>
      </c>
      <c r="H195" s="306">
        <f t="shared" si="41"/>
        <v>0</v>
      </c>
      <c r="I195" s="305">
        <f>IFERROR(SUMIF(簡易陰圧装置!$C$30:$C$74,B195,簡易陰圧装置!$K$30:$K$74)*((簡易陰圧装置!$H$3-簡易陰圧装置!$I$3)/簡易陰圧装置!$H$3),0)</f>
        <v>0</v>
      </c>
      <c r="J195" s="306">
        <f t="shared" si="42"/>
        <v>0</v>
      </c>
      <c r="K195" s="305">
        <f>IFERROR(SUMIF(簡易ベッド!$C$30:$C$74,B195,簡易ベッド!$K$30:$K$74)*((簡易ベッド!$H$3-簡易ベッド!$I$3)/簡易ベッド!$H$3),0)</f>
        <v>0</v>
      </c>
      <c r="L195" s="306">
        <f t="shared" si="43"/>
        <v>0</v>
      </c>
      <c r="M195" s="305">
        <f>IFERROR(SUMIF(体外式膜型人工肺!$C$30:$C$74,B195,体外式膜型人工肺!$K$30:$K$74)*((体外式膜型人工肺!$H$3-体外式膜型人工肺!$I$3)/体外式膜型人工肺!$H$3),0)</f>
        <v>0</v>
      </c>
      <c r="N195" s="306">
        <f t="shared" si="44"/>
        <v>0</v>
      </c>
      <c r="O195" s="306">
        <f t="shared" si="45"/>
        <v>0</v>
      </c>
      <c r="P195" s="306">
        <f t="shared" si="46"/>
        <v>0</v>
      </c>
      <c r="Q195" s="305">
        <f>IFERROR(SUMIF(紫外線照射装置!$C$30:$C$74,B195,紫外線照射装置!$K$30:$K$74)*((紫外線照射装置!$H$3-紫外線照射装置!$I$3)/紫外線照射装置!$H$3),0)</f>
        <v>0</v>
      </c>
      <c r="R195" s="306">
        <f t="shared" si="47"/>
        <v>0</v>
      </c>
      <c r="S195" s="419">
        <f t="shared" si="48"/>
        <v>0</v>
      </c>
      <c r="T195" s="305">
        <f>IFERROR(SUMIF(超音波画像診断装置!$C$30:$C$74,B195,超音波画像診断装置!$K$30:$K$74)*((超音波画像診断装置!$H$3-超音波画像診断装置!$I$3)/超音波画像診断装置!$H$3),0)</f>
        <v>0</v>
      </c>
      <c r="U195" s="306">
        <f t="shared" si="49"/>
        <v>0</v>
      </c>
      <c r="V195" s="305">
        <f>IFERROR(SUMIF(血液浄化装置!$C$30:$C$74,B195,血液浄化装置!$K$30:$K$74)*((血液浄化装置!$H$3-血液浄化装置!$I$3)/血液浄化装置!$H$3),0)</f>
        <v>0</v>
      </c>
      <c r="W195" s="306">
        <f t="shared" si="50"/>
        <v>0</v>
      </c>
      <c r="X195" s="305">
        <f>IFERROR(SUMIF(気管支鏡!$C$30:$C$74,B195,気管支鏡!$K$30:$K$74)*((気管支鏡!$H$3-気管支鏡!$I$3)/気管支鏡!$H$3),0)</f>
        <v>0</v>
      </c>
      <c r="Y195" s="306">
        <f t="shared" si="36"/>
        <v>0</v>
      </c>
      <c r="Z195" s="305">
        <f>IFERROR(SUMIF(CT撮影装置!$C$30:$C$74,B195,CT撮影装置!$K$30:$K$74)*((CT撮影装置!$H$3-CT撮影装置!$I$3)/CT撮影装置!$H$3),0)</f>
        <v>0</v>
      </c>
      <c r="AA195" s="306">
        <f t="shared" si="51"/>
        <v>0</v>
      </c>
      <c r="AB195" s="305">
        <f>IFERROR(SUMIF(生体情報モニタ!$C$30:$C$74,B195,生体情報モニタ!$K$30:$K$74)*((生体情報モニタ!$H$3-生体情報モニタ!$I$3)/生体情報モニタ!$H$3),0)</f>
        <v>0</v>
      </c>
      <c r="AC195" s="306">
        <f t="shared" si="37"/>
        <v>0</v>
      </c>
      <c r="AD195" s="305">
        <f>IFERROR(SUMIF(分娩監視装置!$C$30:$C$74,B195,分娩監視装置!$K$30:$K$74)*((分娩監視装置!$H$3-分娩監視装置!$I$3)/分娩監視装置!$H$3),0)</f>
        <v>0</v>
      </c>
      <c r="AE195" s="306">
        <f t="shared" si="52"/>
        <v>0</v>
      </c>
      <c r="AF195" s="305">
        <f>IFERROR(SUMIF(新生児モニタ!$C$30:$C$74,B195,新生児モニタ!$K$30:$K$74)*((新生児モニタ!$H$3-新生児モニタ!$I$3)/新生児モニタ!$H$3),0)</f>
        <v>0</v>
      </c>
      <c r="AG195" s="306">
        <f t="shared" si="53"/>
        <v>0</v>
      </c>
    </row>
    <row r="196" spans="2:33">
      <c r="B196" s="283" t="s">
        <v>1009</v>
      </c>
      <c r="C196" s="305">
        <f>IFERROR(SUMIF(初度設備!$C$30:$C$74,B196,初度設備!$K$30:$K$74)*((初度設備!$H$3-初度設備!$I$3)/初度設備!$H$3),0)</f>
        <v>0</v>
      </c>
      <c r="D196" s="306">
        <f t="shared" si="38"/>
        <v>0</v>
      </c>
      <c r="E196" s="305">
        <f>IFERROR(SUMIF(人工呼吸器!$C$30:$C$74,B196,人工呼吸器!$K$30:$K$74)*((人工呼吸器!$H$3-人工呼吸器!$I$3)/人工呼吸器!$H$3),0)</f>
        <v>0</v>
      </c>
      <c r="F196" s="306">
        <f t="shared" si="39"/>
        <v>0</v>
      </c>
      <c r="G196" s="306">
        <f t="shared" si="40"/>
        <v>0</v>
      </c>
      <c r="H196" s="306">
        <f t="shared" si="41"/>
        <v>0</v>
      </c>
      <c r="I196" s="305">
        <f>IFERROR(SUMIF(簡易陰圧装置!$C$30:$C$74,B196,簡易陰圧装置!$K$30:$K$74)*((簡易陰圧装置!$H$3-簡易陰圧装置!$I$3)/簡易陰圧装置!$H$3),0)</f>
        <v>0</v>
      </c>
      <c r="J196" s="306">
        <f t="shared" si="42"/>
        <v>0</v>
      </c>
      <c r="K196" s="305">
        <f>IFERROR(SUMIF(簡易ベッド!$C$30:$C$74,B196,簡易ベッド!$K$30:$K$74)*((簡易ベッド!$H$3-簡易ベッド!$I$3)/簡易ベッド!$H$3),0)</f>
        <v>0</v>
      </c>
      <c r="L196" s="306">
        <f t="shared" si="43"/>
        <v>0</v>
      </c>
      <c r="M196" s="305">
        <f>IFERROR(SUMIF(体外式膜型人工肺!$C$30:$C$74,B196,体外式膜型人工肺!$K$30:$K$74)*((体外式膜型人工肺!$H$3-体外式膜型人工肺!$I$3)/体外式膜型人工肺!$H$3),0)</f>
        <v>0</v>
      </c>
      <c r="N196" s="306">
        <f t="shared" si="44"/>
        <v>0</v>
      </c>
      <c r="O196" s="306">
        <f t="shared" si="45"/>
        <v>0</v>
      </c>
      <c r="P196" s="306">
        <f t="shared" si="46"/>
        <v>0</v>
      </c>
      <c r="Q196" s="305">
        <f>IFERROR(SUMIF(紫外線照射装置!$C$30:$C$74,B196,紫外線照射装置!$K$30:$K$74)*((紫外線照射装置!$H$3-紫外線照射装置!$I$3)/紫外線照射装置!$H$3),0)</f>
        <v>0</v>
      </c>
      <c r="R196" s="306">
        <f t="shared" si="47"/>
        <v>0</v>
      </c>
      <c r="S196" s="419">
        <f t="shared" si="48"/>
        <v>0</v>
      </c>
      <c r="T196" s="305">
        <f>IFERROR(SUMIF(超音波画像診断装置!$C$30:$C$74,B196,超音波画像診断装置!$K$30:$K$74)*((超音波画像診断装置!$H$3-超音波画像診断装置!$I$3)/超音波画像診断装置!$H$3),0)</f>
        <v>0</v>
      </c>
      <c r="U196" s="306">
        <f t="shared" si="49"/>
        <v>0</v>
      </c>
      <c r="V196" s="305">
        <f>IFERROR(SUMIF(血液浄化装置!$C$30:$C$74,B196,血液浄化装置!$K$30:$K$74)*((血液浄化装置!$H$3-血液浄化装置!$I$3)/血液浄化装置!$H$3),0)</f>
        <v>0</v>
      </c>
      <c r="W196" s="306">
        <f t="shared" si="50"/>
        <v>0</v>
      </c>
      <c r="X196" s="305">
        <f>IFERROR(SUMIF(気管支鏡!$C$30:$C$74,B196,気管支鏡!$K$30:$K$74)*((気管支鏡!$H$3-気管支鏡!$I$3)/気管支鏡!$H$3),0)</f>
        <v>0</v>
      </c>
      <c r="Y196" s="306">
        <f t="shared" si="36"/>
        <v>0</v>
      </c>
      <c r="Z196" s="305">
        <f>IFERROR(SUMIF(CT撮影装置!$C$30:$C$74,B196,CT撮影装置!$K$30:$K$74)*((CT撮影装置!$H$3-CT撮影装置!$I$3)/CT撮影装置!$H$3),0)</f>
        <v>0</v>
      </c>
      <c r="AA196" s="306">
        <f t="shared" si="51"/>
        <v>0</v>
      </c>
      <c r="AB196" s="305">
        <f>IFERROR(SUMIF(生体情報モニタ!$C$30:$C$74,B196,生体情報モニタ!$K$30:$K$74)*((生体情報モニタ!$H$3-生体情報モニタ!$I$3)/生体情報モニタ!$H$3),0)</f>
        <v>0</v>
      </c>
      <c r="AC196" s="306">
        <f t="shared" si="37"/>
        <v>0</v>
      </c>
      <c r="AD196" s="305">
        <f>IFERROR(SUMIF(分娩監視装置!$C$30:$C$74,B196,分娩監視装置!$K$30:$K$74)*((分娩監視装置!$H$3-分娩監視装置!$I$3)/分娩監視装置!$H$3),0)</f>
        <v>0</v>
      </c>
      <c r="AE196" s="306">
        <f t="shared" si="52"/>
        <v>0</v>
      </c>
      <c r="AF196" s="305">
        <f>IFERROR(SUMIF(新生児モニタ!$C$30:$C$74,B196,新生児モニタ!$K$30:$K$74)*((新生児モニタ!$H$3-新生児モニタ!$I$3)/新生児モニタ!$H$3),0)</f>
        <v>0</v>
      </c>
      <c r="AG196" s="306">
        <f t="shared" si="53"/>
        <v>0</v>
      </c>
    </row>
    <row r="197" spans="2:33">
      <c r="B197" s="283" t="s">
        <v>1010</v>
      </c>
      <c r="C197" s="305">
        <f>IFERROR(SUMIF(初度設備!$C$30:$C$74,B197,初度設備!$K$30:$K$74)*((初度設備!$H$3-初度設備!$I$3)/初度設備!$H$3),0)</f>
        <v>0</v>
      </c>
      <c r="D197" s="306">
        <f t="shared" si="38"/>
        <v>0</v>
      </c>
      <c r="E197" s="305">
        <f>IFERROR(SUMIF(人工呼吸器!$C$30:$C$74,B197,人工呼吸器!$K$30:$K$74)*((人工呼吸器!$H$3-人工呼吸器!$I$3)/人工呼吸器!$H$3),0)</f>
        <v>0</v>
      </c>
      <c r="F197" s="306">
        <f t="shared" si="39"/>
        <v>0</v>
      </c>
      <c r="G197" s="306">
        <f t="shared" si="40"/>
        <v>0</v>
      </c>
      <c r="H197" s="306">
        <f t="shared" si="41"/>
        <v>0</v>
      </c>
      <c r="I197" s="305">
        <f>IFERROR(SUMIF(簡易陰圧装置!$C$30:$C$74,B197,簡易陰圧装置!$K$30:$K$74)*((簡易陰圧装置!$H$3-簡易陰圧装置!$I$3)/簡易陰圧装置!$H$3),0)</f>
        <v>0</v>
      </c>
      <c r="J197" s="306">
        <f t="shared" si="42"/>
        <v>0</v>
      </c>
      <c r="K197" s="305">
        <f>IFERROR(SUMIF(簡易ベッド!$C$30:$C$74,B197,簡易ベッド!$K$30:$K$74)*((簡易ベッド!$H$3-簡易ベッド!$I$3)/簡易ベッド!$H$3),0)</f>
        <v>0</v>
      </c>
      <c r="L197" s="306">
        <f t="shared" si="43"/>
        <v>0</v>
      </c>
      <c r="M197" s="305">
        <f>IFERROR(SUMIF(体外式膜型人工肺!$C$30:$C$74,B197,体外式膜型人工肺!$K$30:$K$74)*((体外式膜型人工肺!$H$3-体外式膜型人工肺!$I$3)/体外式膜型人工肺!$H$3),0)</f>
        <v>0</v>
      </c>
      <c r="N197" s="306">
        <f t="shared" si="44"/>
        <v>0</v>
      </c>
      <c r="O197" s="306">
        <f t="shared" si="45"/>
        <v>0</v>
      </c>
      <c r="P197" s="306">
        <f t="shared" si="46"/>
        <v>0</v>
      </c>
      <c r="Q197" s="305">
        <f>IFERROR(SUMIF(紫外線照射装置!$C$30:$C$74,B197,紫外線照射装置!$K$30:$K$74)*((紫外線照射装置!$H$3-紫外線照射装置!$I$3)/紫外線照射装置!$H$3),0)</f>
        <v>0</v>
      </c>
      <c r="R197" s="306">
        <f t="shared" si="47"/>
        <v>0</v>
      </c>
      <c r="S197" s="419">
        <f t="shared" si="48"/>
        <v>0</v>
      </c>
      <c r="T197" s="305">
        <f>IFERROR(SUMIF(超音波画像診断装置!$C$30:$C$74,B197,超音波画像診断装置!$K$30:$K$74)*((超音波画像診断装置!$H$3-超音波画像診断装置!$I$3)/超音波画像診断装置!$H$3),0)</f>
        <v>0</v>
      </c>
      <c r="U197" s="306">
        <f t="shared" si="49"/>
        <v>0</v>
      </c>
      <c r="V197" s="305">
        <f>IFERROR(SUMIF(血液浄化装置!$C$30:$C$74,B197,血液浄化装置!$K$30:$K$74)*((血液浄化装置!$H$3-血液浄化装置!$I$3)/血液浄化装置!$H$3),0)</f>
        <v>0</v>
      </c>
      <c r="W197" s="306">
        <f t="shared" si="50"/>
        <v>0</v>
      </c>
      <c r="X197" s="305">
        <f>IFERROR(SUMIF(気管支鏡!$C$30:$C$74,B197,気管支鏡!$K$30:$K$74)*((気管支鏡!$H$3-気管支鏡!$I$3)/気管支鏡!$H$3),0)</f>
        <v>0</v>
      </c>
      <c r="Y197" s="306">
        <f t="shared" si="36"/>
        <v>0</v>
      </c>
      <c r="Z197" s="305">
        <f>IFERROR(SUMIF(CT撮影装置!$C$30:$C$74,B197,CT撮影装置!$K$30:$K$74)*((CT撮影装置!$H$3-CT撮影装置!$I$3)/CT撮影装置!$H$3),0)</f>
        <v>0</v>
      </c>
      <c r="AA197" s="306">
        <f t="shared" si="51"/>
        <v>0</v>
      </c>
      <c r="AB197" s="305">
        <f>IFERROR(SUMIF(生体情報モニタ!$C$30:$C$74,B197,生体情報モニタ!$K$30:$K$74)*((生体情報モニタ!$H$3-生体情報モニタ!$I$3)/生体情報モニタ!$H$3),0)</f>
        <v>0</v>
      </c>
      <c r="AC197" s="306">
        <f t="shared" si="37"/>
        <v>0</v>
      </c>
      <c r="AD197" s="305">
        <f>IFERROR(SUMIF(分娩監視装置!$C$30:$C$74,B197,分娩監視装置!$K$30:$K$74)*((分娩監視装置!$H$3-分娩監視装置!$I$3)/分娩監視装置!$H$3),0)</f>
        <v>0</v>
      </c>
      <c r="AE197" s="306">
        <f t="shared" si="52"/>
        <v>0</v>
      </c>
      <c r="AF197" s="305">
        <f>IFERROR(SUMIF(新生児モニタ!$C$30:$C$74,B197,新生児モニタ!$K$30:$K$74)*((新生児モニタ!$H$3-新生児モニタ!$I$3)/新生児モニタ!$H$3),0)</f>
        <v>0</v>
      </c>
      <c r="AG197" s="306">
        <f t="shared" si="53"/>
        <v>0</v>
      </c>
    </row>
    <row r="198" spans="2:33">
      <c r="B198" s="283" t="s">
        <v>1011</v>
      </c>
      <c r="C198" s="305">
        <f>IFERROR(SUMIF(初度設備!$C$30:$C$74,B198,初度設備!$K$30:$K$74)*((初度設備!$H$3-初度設備!$I$3)/初度設備!$H$3),0)</f>
        <v>0</v>
      </c>
      <c r="D198" s="306">
        <f t="shared" si="38"/>
        <v>0</v>
      </c>
      <c r="E198" s="305">
        <f>IFERROR(SUMIF(人工呼吸器!$C$30:$C$74,B198,人工呼吸器!$K$30:$K$74)*((人工呼吸器!$H$3-人工呼吸器!$I$3)/人工呼吸器!$H$3),0)</f>
        <v>0</v>
      </c>
      <c r="F198" s="306">
        <f t="shared" si="39"/>
        <v>0</v>
      </c>
      <c r="G198" s="306">
        <f t="shared" si="40"/>
        <v>0</v>
      </c>
      <c r="H198" s="306">
        <f t="shared" si="41"/>
        <v>0</v>
      </c>
      <c r="I198" s="305">
        <f>IFERROR(SUMIF(簡易陰圧装置!$C$30:$C$74,B198,簡易陰圧装置!$K$30:$K$74)*((簡易陰圧装置!$H$3-簡易陰圧装置!$I$3)/簡易陰圧装置!$H$3),0)</f>
        <v>0</v>
      </c>
      <c r="J198" s="306">
        <f t="shared" si="42"/>
        <v>0</v>
      </c>
      <c r="K198" s="305">
        <f>IFERROR(SUMIF(簡易ベッド!$C$30:$C$74,B198,簡易ベッド!$K$30:$K$74)*((簡易ベッド!$H$3-簡易ベッド!$I$3)/簡易ベッド!$H$3),0)</f>
        <v>0</v>
      </c>
      <c r="L198" s="306">
        <f t="shared" si="43"/>
        <v>0</v>
      </c>
      <c r="M198" s="305">
        <f>IFERROR(SUMIF(体外式膜型人工肺!$C$30:$C$74,B198,体外式膜型人工肺!$K$30:$K$74)*((体外式膜型人工肺!$H$3-体外式膜型人工肺!$I$3)/体外式膜型人工肺!$H$3),0)</f>
        <v>0</v>
      </c>
      <c r="N198" s="306">
        <f t="shared" si="44"/>
        <v>0</v>
      </c>
      <c r="O198" s="306">
        <f t="shared" si="45"/>
        <v>0</v>
      </c>
      <c r="P198" s="306">
        <f t="shared" si="46"/>
        <v>0</v>
      </c>
      <c r="Q198" s="305">
        <f>IFERROR(SUMIF(紫外線照射装置!$C$30:$C$74,B198,紫外線照射装置!$K$30:$K$74)*((紫外線照射装置!$H$3-紫外線照射装置!$I$3)/紫外線照射装置!$H$3),0)</f>
        <v>0</v>
      </c>
      <c r="R198" s="306">
        <f t="shared" si="47"/>
        <v>0</v>
      </c>
      <c r="S198" s="419">
        <f t="shared" si="48"/>
        <v>0</v>
      </c>
      <c r="T198" s="305">
        <f>IFERROR(SUMIF(超音波画像診断装置!$C$30:$C$74,B198,超音波画像診断装置!$K$30:$K$74)*((超音波画像診断装置!$H$3-超音波画像診断装置!$I$3)/超音波画像診断装置!$H$3),0)</f>
        <v>0</v>
      </c>
      <c r="U198" s="306">
        <f t="shared" si="49"/>
        <v>0</v>
      </c>
      <c r="V198" s="305">
        <f>IFERROR(SUMIF(血液浄化装置!$C$30:$C$74,B198,血液浄化装置!$K$30:$K$74)*((血液浄化装置!$H$3-血液浄化装置!$I$3)/血液浄化装置!$H$3),0)</f>
        <v>0</v>
      </c>
      <c r="W198" s="306">
        <f t="shared" si="50"/>
        <v>0</v>
      </c>
      <c r="X198" s="305">
        <f>IFERROR(SUMIF(気管支鏡!$C$30:$C$74,B198,気管支鏡!$K$30:$K$74)*((気管支鏡!$H$3-気管支鏡!$I$3)/気管支鏡!$H$3),0)</f>
        <v>0</v>
      </c>
      <c r="Y198" s="306">
        <f t="shared" si="36"/>
        <v>0</v>
      </c>
      <c r="Z198" s="305">
        <f>IFERROR(SUMIF(CT撮影装置!$C$30:$C$74,B198,CT撮影装置!$K$30:$K$74)*((CT撮影装置!$H$3-CT撮影装置!$I$3)/CT撮影装置!$H$3),0)</f>
        <v>0</v>
      </c>
      <c r="AA198" s="306">
        <f t="shared" si="51"/>
        <v>0</v>
      </c>
      <c r="AB198" s="305">
        <f>IFERROR(SUMIF(生体情報モニタ!$C$30:$C$74,B198,生体情報モニタ!$K$30:$K$74)*((生体情報モニタ!$H$3-生体情報モニタ!$I$3)/生体情報モニタ!$H$3),0)</f>
        <v>0</v>
      </c>
      <c r="AC198" s="306">
        <f t="shared" si="37"/>
        <v>0</v>
      </c>
      <c r="AD198" s="305">
        <f>IFERROR(SUMIF(分娩監視装置!$C$30:$C$74,B198,分娩監視装置!$K$30:$K$74)*((分娩監視装置!$H$3-分娩監視装置!$I$3)/分娩監視装置!$H$3),0)</f>
        <v>0</v>
      </c>
      <c r="AE198" s="306">
        <f t="shared" si="52"/>
        <v>0</v>
      </c>
      <c r="AF198" s="305">
        <f>IFERROR(SUMIF(新生児モニタ!$C$30:$C$74,B198,新生児モニタ!$K$30:$K$74)*((新生児モニタ!$H$3-新生児モニタ!$I$3)/新生児モニタ!$H$3),0)</f>
        <v>0</v>
      </c>
      <c r="AG198" s="306">
        <f t="shared" si="53"/>
        <v>0</v>
      </c>
    </row>
    <row r="199" spans="2:33">
      <c r="B199" s="283" t="s">
        <v>1012</v>
      </c>
      <c r="C199" s="305">
        <f>IFERROR(SUMIF(初度設備!$C$30:$C$74,B199,初度設備!$K$30:$K$74)*((初度設備!$H$3-初度設備!$I$3)/初度設備!$H$3),0)</f>
        <v>0</v>
      </c>
      <c r="D199" s="306">
        <f t="shared" si="38"/>
        <v>0</v>
      </c>
      <c r="E199" s="305">
        <f>IFERROR(SUMIF(人工呼吸器!$C$30:$C$74,B199,人工呼吸器!$K$30:$K$74)*((人工呼吸器!$H$3-人工呼吸器!$I$3)/人工呼吸器!$H$3),0)</f>
        <v>0</v>
      </c>
      <c r="F199" s="306">
        <f t="shared" si="39"/>
        <v>0</v>
      </c>
      <c r="G199" s="306">
        <f t="shared" si="40"/>
        <v>0</v>
      </c>
      <c r="H199" s="306">
        <f t="shared" si="41"/>
        <v>0</v>
      </c>
      <c r="I199" s="305">
        <f>IFERROR(SUMIF(簡易陰圧装置!$C$30:$C$74,B199,簡易陰圧装置!$K$30:$K$74)*((簡易陰圧装置!$H$3-簡易陰圧装置!$I$3)/簡易陰圧装置!$H$3),0)</f>
        <v>0</v>
      </c>
      <c r="J199" s="306">
        <f t="shared" si="42"/>
        <v>0</v>
      </c>
      <c r="K199" s="305">
        <f>IFERROR(SUMIF(簡易ベッド!$C$30:$C$74,B199,簡易ベッド!$K$30:$K$74)*((簡易ベッド!$H$3-簡易ベッド!$I$3)/簡易ベッド!$H$3),0)</f>
        <v>0</v>
      </c>
      <c r="L199" s="306">
        <f t="shared" si="43"/>
        <v>0</v>
      </c>
      <c r="M199" s="305">
        <f>IFERROR(SUMIF(体外式膜型人工肺!$C$30:$C$74,B199,体外式膜型人工肺!$K$30:$K$74)*((体外式膜型人工肺!$H$3-体外式膜型人工肺!$I$3)/体外式膜型人工肺!$H$3),0)</f>
        <v>0</v>
      </c>
      <c r="N199" s="306">
        <f t="shared" si="44"/>
        <v>0</v>
      </c>
      <c r="O199" s="306">
        <f t="shared" si="45"/>
        <v>0</v>
      </c>
      <c r="P199" s="306">
        <f t="shared" si="46"/>
        <v>0</v>
      </c>
      <c r="Q199" s="305">
        <f>IFERROR(SUMIF(紫外線照射装置!$C$30:$C$74,B199,紫外線照射装置!$K$30:$K$74)*((紫外線照射装置!$H$3-紫外線照射装置!$I$3)/紫外線照射装置!$H$3),0)</f>
        <v>0</v>
      </c>
      <c r="R199" s="306">
        <f t="shared" si="47"/>
        <v>0</v>
      </c>
      <c r="S199" s="419">
        <f t="shared" si="48"/>
        <v>0</v>
      </c>
      <c r="T199" s="305">
        <f>IFERROR(SUMIF(超音波画像診断装置!$C$30:$C$74,B199,超音波画像診断装置!$K$30:$K$74)*((超音波画像診断装置!$H$3-超音波画像診断装置!$I$3)/超音波画像診断装置!$H$3),0)</f>
        <v>0</v>
      </c>
      <c r="U199" s="306">
        <f t="shared" si="49"/>
        <v>0</v>
      </c>
      <c r="V199" s="305">
        <f>IFERROR(SUMIF(血液浄化装置!$C$30:$C$74,B199,血液浄化装置!$K$30:$K$74)*((血液浄化装置!$H$3-血液浄化装置!$I$3)/血液浄化装置!$H$3),0)</f>
        <v>0</v>
      </c>
      <c r="W199" s="306">
        <f t="shared" si="50"/>
        <v>0</v>
      </c>
      <c r="X199" s="305">
        <f>IFERROR(SUMIF(気管支鏡!$C$30:$C$74,B199,気管支鏡!$K$30:$K$74)*((気管支鏡!$H$3-気管支鏡!$I$3)/気管支鏡!$H$3),0)</f>
        <v>0</v>
      </c>
      <c r="Y199" s="306">
        <f t="shared" si="36"/>
        <v>0</v>
      </c>
      <c r="Z199" s="305">
        <f>IFERROR(SUMIF(CT撮影装置!$C$30:$C$74,B199,CT撮影装置!$K$30:$K$74)*((CT撮影装置!$H$3-CT撮影装置!$I$3)/CT撮影装置!$H$3),0)</f>
        <v>0</v>
      </c>
      <c r="AA199" s="306">
        <f t="shared" si="51"/>
        <v>0</v>
      </c>
      <c r="AB199" s="305">
        <f>IFERROR(SUMIF(生体情報モニタ!$C$30:$C$74,B199,生体情報モニタ!$K$30:$K$74)*((生体情報モニタ!$H$3-生体情報モニタ!$I$3)/生体情報モニタ!$H$3),0)</f>
        <v>0</v>
      </c>
      <c r="AC199" s="306">
        <f t="shared" si="37"/>
        <v>0</v>
      </c>
      <c r="AD199" s="305">
        <f>IFERROR(SUMIF(分娩監視装置!$C$30:$C$74,B199,分娩監視装置!$K$30:$K$74)*((分娩監視装置!$H$3-分娩監視装置!$I$3)/分娩監視装置!$H$3),0)</f>
        <v>0</v>
      </c>
      <c r="AE199" s="306">
        <f t="shared" si="52"/>
        <v>0</v>
      </c>
      <c r="AF199" s="305">
        <f>IFERROR(SUMIF(新生児モニタ!$C$30:$C$74,B199,新生児モニタ!$K$30:$K$74)*((新生児モニタ!$H$3-新生児モニタ!$I$3)/新生児モニタ!$H$3),0)</f>
        <v>0</v>
      </c>
      <c r="AG199" s="306">
        <f t="shared" si="53"/>
        <v>0</v>
      </c>
    </row>
    <row r="200" spans="2:33">
      <c r="B200" s="283" t="s">
        <v>1013</v>
      </c>
      <c r="C200" s="305">
        <f>IFERROR(SUMIF(初度設備!$C$30:$C$74,B200,初度設備!$K$30:$K$74)*((初度設備!$H$3-初度設備!$I$3)/初度設備!$H$3),0)</f>
        <v>0</v>
      </c>
      <c r="D200" s="306">
        <f t="shared" si="38"/>
        <v>0</v>
      </c>
      <c r="E200" s="305">
        <f>IFERROR(SUMIF(人工呼吸器!$C$30:$C$74,B200,人工呼吸器!$K$30:$K$74)*((人工呼吸器!$H$3-人工呼吸器!$I$3)/人工呼吸器!$H$3),0)</f>
        <v>0</v>
      </c>
      <c r="F200" s="306">
        <f t="shared" si="39"/>
        <v>0</v>
      </c>
      <c r="G200" s="306">
        <f t="shared" si="40"/>
        <v>0</v>
      </c>
      <c r="H200" s="306">
        <f t="shared" si="41"/>
        <v>0</v>
      </c>
      <c r="I200" s="305">
        <f>IFERROR(SUMIF(簡易陰圧装置!$C$30:$C$74,B200,簡易陰圧装置!$K$30:$K$74)*((簡易陰圧装置!$H$3-簡易陰圧装置!$I$3)/簡易陰圧装置!$H$3),0)</f>
        <v>0</v>
      </c>
      <c r="J200" s="306">
        <f t="shared" si="42"/>
        <v>0</v>
      </c>
      <c r="K200" s="305">
        <f>IFERROR(SUMIF(簡易ベッド!$C$30:$C$74,B200,簡易ベッド!$K$30:$K$74)*((簡易ベッド!$H$3-簡易ベッド!$I$3)/簡易ベッド!$H$3),0)</f>
        <v>0</v>
      </c>
      <c r="L200" s="306">
        <f t="shared" si="43"/>
        <v>0</v>
      </c>
      <c r="M200" s="305">
        <f>IFERROR(SUMIF(体外式膜型人工肺!$C$30:$C$74,B200,体外式膜型人工肺!$K$30:$K$74)*((体外式膜型人工肺!$H$3-体外式膜型人工肺!$I$3)/体外式膜型人工肺!$H$3),0)</f>
        <v>0</v>
      </c>
      <c r="N200" s="306">
        <f t="shared" si="44"/>
        <v>0</v>
      </c>
      <c r="O200" s="306">
        <f t="shared" si="45"/>
        <v>0</v>
      </c>
      <c r="P200" s="306">
        <f t="shared" si="46"/>
        <v>0</v>
      </c>
      <c r="Q200" s="305">
        <f>IFERROR(SUMIF(紫外線照射装置!$C$30:$C$74,B200,紫外線照射装置!$K$30:$K$74)*((紫外線照射装置!$H$3-紫外線照射装置!$I$3)/紫外線照射装置!$H$3),0)</f>
        <v>0</v>
      </c>
      <c r="R200" s="306">
        <f t="shared" si="47"/>
        <v>0</v>
      </c>
      <c r="S200" s="419">
        <f t="shared" si="48"/>
        <v>0</v>
      </c>
      <c r="T200" s="305">
        <f>IFERROR(SUMIF(超音波画像診断装置!$C$30:$C$74,B200,超音波画像診断装置!$K$30:$K$74)*((超音波画像診断装置!$H$3-超音波画像診断装置!$I$3)/超音波画像診断装置!$H$3),0)</f>
        <v>0</v>
      </c>
      <c r="U200" s="306">
        <f t="shared" si="49"/>
        <v>0</v>
      </c>
      <c r="V200" s="305">
        <f>IFERROR(SUMIF(血液浄化装置!$C$30:$C$74,B200,血液浄化装置!$K$30:$K$74)*((血液浄化装置!$H$3-血液浄化装置!$I$3)/血液浄化装置!$H$3),0)</f>
        <v>0</v>
      </c>
      <c r="W200" s="306">
        <f t="shared" si="50"/>
        <v>0</v>
      </c>
      <c r="X200" s="305">
        <f>IFERROR(SUMIF(気管支鏡!$C$30:$C$74,B200,気管支鏡!$K$30:$K$74)*((気管支鏡!$H$3-気管支鏡!$I$3)/気管支鏡!$H$3),0)</f>
        <v>0</v>
      </c>
      <c r="Y200" s="306">
        <f t="shared" si="36"/>
        <v>0</v>
      </c>
      <c r="Z200" s="305">
        <f>IFERROR(SUMIF(CT撮影装置!$C$30:$C$74,B200,CT撮影装置!$K$30:$K$74)*((CT撮影装置!$H$3-CT撮影装置!$I$3)/CT撮影装置!$H$3),0)</f>
        <v>0</v>
      </c>
      <c r="AA200" s="306">
        <f t="shared" si="51"/>
        <v>0</v>
      </c>
      <c r="AB200" s="305">
        <f>IFERROR(SUMIF(生体情報モニタ!$C$30:$C$74,B200,生体情報モニタ!$K$30:$K$74)*((生体情報モニタ!$H$3-生体情報モニタ!$I$3)/生体情報モニタ!$H$3),0)</f>
        <v>0</v>
      </c>
      <c r="AC200" s="306">
        <f t="shared" si="37"/>
        <v>0</v>
      </c>
      <c r="AD200" s="305">
        <f>IFERROR(SUMIF(分娩監視装置!$C$30:$C$74,B200,分娩監視装置!$K$30:$K$74)*((分娩監視装置!$H$3-分娩監視装置!$I$3)/分娩監視装置!$H$3),0)</f>
        <v>0</v>
      </c>
      <c r="AE200" s="306">
        <f t="shared" si="52"/>
        <v>0</v>
      </c>
      <c r="AF200" s="305">
        <f>IFERROR(SUMIF(新生児モニタ!$C$30:$C$74,B200,新生児モニタ!$K$30:$K$74)*((新生児モニタ!$H$3-新生児モニタ!$I$3)/新生児モニタ!$H$3),0)</f>
        <v>0</v>
      </c>
      <c r="AG200" s="306">
        <f t="shared" si="53"/>
        <v>0</v>
      </c>
    </row>
    <row r="201" spans="2:33">
      <c r="B201" s="283" t="s">
        <v>1014</v>
      </c>
      <c r="C201" s="305">
        <f>IFERROR(SUMIF(初度設備!$C$30:$C$74,B201,初度設備!$K$30:$K$74)*((初度設備!$H$3-初度設備!$I$3)/初度設備!$H$3),0)</f>
        <v>0</v>
      </c>
      <c r="D201" s="306">
        <f t="shared" si="38"/>
        <v>0</v>
      </c>
      <c r="E201" s="305">
        <f>IFERROR(SUMIF(人工呼吸器!$C$30:$C$74,B201,人工呼吸器!$K$30:$K$74)*((人工呼吸器!$H$3-人工呼吸器!$I$3)/人工呼吸器!$H$3),0)</f>
        <v>0</v>
      </c>
      <c r="F201" s="306">
        <f t="shared" si="39"/>
        <v>0</v>
      </c>
      <c r="G201" s="306">
        <f t="shared" si="40"/>
        <v>0</v>
      </c>
      <c r="H201" s="306">
        <f t="shared" si="41"/>
        <v>0</v>
      </c>
      <c r="I201" s="305">
        <f>IFERROR(SUMIF(簡易陰圧装置!$C$30:$C$74,B201,簡易陰圧装置!$K$30:$K$74)*((簡易陰圧装置!$H$3-簡易陰圧装置!$I$3)/簡易陰圧装置!$H$3),0)</f>
        <v>0</v>
      </c>
      <c r="J201" s="306">
        <f t="shared" si="42"/>
        <v>0</v>
      </c>
      <c r="K201" s="305">
        <f>IFERROR(SUMIF(簡易ベッド!$C$30:$C$74,B201,簡易ベッド!$K$30:$K$74)*((簡易ベッド!$H$3-簡易ベッド!$I$3)/簡易ベッド!$H$3),0)</f>
        <v>0</v>
      </c>
      <c r="L201" s="306">
        <f t="shared" si="43"/>
        <v>0</v>
      </c>
      <c r="M201" s="305">
        <f>IFERROR(SUMIF(体外式膜型人工肺!$C$30:$C$74,B201,体外式膜型人工肺!$K$30:$K$74)*((体外式膜型人工肺!$H$3-体外式膜型人工肺!$I$3)/体外式膜型人工肺!$H$3),0)</f>
        <v>0</v>
      </c>
      <c r="N201" s="306">
        <f t="shared" si="44"/>
        <v>0</v>
      </c>
      <c r="O201" s="306">
        <f t="shared" si="45"/>
        <v>0</v>
      </c>
      <c r="P201" s="306">
        <f t="shared" si="46"/>
        <v>0</v>
      </c>
      <c r="Q201" s="305">
        <f>IFERROR(SUMIF(紫外線照射装置!$C$30:$C$74,B201,紫外線照射装置!$K$30:$K$74)*((紫外線照射装置!$H$3-紫外線照射装置!$I$3)/紫外線照射装置!$H$3),0)</f>
        <v>0</v>
      </c>
      <c r="R201" s="306">
        <f t="shared" si="47"/>
        <v>0</v>
      </c>
      <c r="S201" s="419">
        <f t="shared" si="48"/>
        <v>0</v>
      </c>
      <c r="T201" s="305">
        <f>IFERROR(SUMIF(超音波画像診断装置!$C$30:$C$74,B201,超音波画像診断装置!$K$30:$K$74)*((超音波画像診断装置!$H$3-超音波画像診断装置!$I$3)/超音波画像診断装置!$H$3),0)</f>
        <v>0</v>
      </c>
      <c r="U201" s="306">
        <f t="shared" si="49"/>
        <v>0</v>
      </c>
      <c r="V201" s="305">
        <f>IFERROR(SUMIF(血液浄化装置!$C$30:$C$74,B201,血液浄化装置!$K$30:$K$74)*((血液浄化装置!$H$3-血液浄化装置!$I$3)/血液浄化装置!$H$3),0)</f>
        <v>0</v>
      </c>
      <c r="W201" s="306">
        <f t="shared" si="50"/>
        <v>0</v>
      </c>
      <c r="X201" s="305">
        <f>IFERROR(SUMIF(気管支鏡!$C$30:$C$74,B201,気管支鏡!$K$30:$K$74)*((気管支鏡!$H$3-気管支鏡!$I$3)/気管支鏡!$H$3),0)</f>
        <v>0</v>
      </c>
      <c r="Y201" s="306">
        <f t="shared" si="36"/>
        <v>0</v>
      </c>
      <c r="Z201" s="305">
        <f>IFERROR(SUMIF(CT撮影装置!$C$30:$C$74,B201,CT撮影装置!$K$30:$K$74)*((CT撮影装置!$H$3-CT撮影装置!$I$3)/CT撮影装置!$H$3),0)</f>
        <v>0</v>
      </c>
      <c r="AA201" s="306">
        <f t="shared" si="51"/>
        <v>0</v>
      </c>
      <c r="AB201" s="305">
        <f>IFERROR(SUMIF(生体情報モニタ!$C$30:$C$74,B201,生体情報モニタ!$K$30:$K$74)*((生体情報モニタ!$H$3-生体情報モニタ!$I$3)/生体情報モニタ!$H$3),0)</f>
        <v>0</v>
      </c>
      <c r="AC201" s="306">
        <f t="shared" si="37"/>
        <v>0</v>
      </c>
      <c r="AD201" s="305">
        <f>IFERROR(SUMIF(分娩監視装置!$C$30:$C$74,B201,分娩監視装置!$K$30:$K$74)*((分娩監視装置!$H$3-分娩監視装置!$I$3)/分娩監視装置!$H$3),0)</f>
        <v>0</v>
      </c>
      <c r="AE201" s="306">
        <f t="shared" si="52"/>
        <v>0</v>
      </c>
      <c r="AF201" s="305">
        <f>IFERROR(SUMIF(新生児モニタ!$C$30:$C$74,B201,新生児モニタ!$K$30:$K$74)*((新生児モニタ!$H$3-新生児モニタ!$I$3)/新生児モニタ!$H$3),0)</f>
        <v>0</v>
      </c>
      <c r="AG201" s="306">
        <f t="shared" si="53"/>
        <v>0</v>
      </c>
    </row>
    <row r="202" spans="2:33">
      <c r="B202" s="283" t="s">
        <v>1015</v>
      </c>
      <c r="C202" s="305">
        <f>IFERROR(SUMIF(初度設備!$C$30:$C$74,B202,初度設備!$K$30:$K$74)*((初度設備!$H$3-初度設備!$I$3)/初度設備!$H$3),0)</f>
        <v>0</v>
      </c>
      <c r="D202" s="306">
        <f t="shared" si="38"/>
        <v>0</v>
      </c>
      <c r="E202" s="305">
        <f>IFERROR(SUMIF(人工呼吸器!$C$30:$C$74,B202,人工呼吸器!$K$30:$K$74)*((人工呼吸器!$H$3-人工呼吸器!$I$3)/人工呼吸器!$H$3),0)</f>
        <v>0</v>
      </c>
      <c r="F202" s="306">
        <f t="shared" si="39"/>
        <v>0</v>
      </c>
      <c r="G202" s="306">
        <f t="shared" si="40"/>
        <v>0</v>
      </c>
      <c r="H202" s="306">
        <f t="shared" si="41"/>
        <v>0</v>
      </c>
      <c r="I202" s="305">
        <f>IFERROR(SUMIF(簡易陰圧装置!$C$30:$C$74,B202,簡易陰圧装置!$K$30:$K$74)*((簡易陰圧装置!$H$3-簡易陰圧装置!$I$3)/簡易陰圧装置!$H$3),0)</f>
        <v>0</v>
      </c>
      <c r="J202" s="306">
        <f t="shared" si="42"/>
        <v>0</v>
      </c>
      <c r="K202" s="305">
        <f>IFERROR(SUMIF(簡易ベッド!$C$30:$C$74,B202,簡易ベッド!$K$30:$K$74)*((簡易ベッド!$H$3-簡易ベッド!$I$3)/簡易ベッド!$H$3),0)</f>
        <v>0</v>
      </c>
      <c r="L202" s="306">
        <f t="shared" si="43"/>
        <v>0</v>
      </c>
      <c r="M202" s="305">
        <f>IFERROR(SUMIF(体外式膜型人工肺!$C$30:$C$74,B202,体外式膜型人工肺!$K$30:$K$74)*((体外式膜型人工肺!$H$3-体外式膜型人工肺!$I$3)/体外式膜型人工肺!$H$3),0)</f>
        <v>0</v>
      </c>
      <c r="N202" s="306">
        <f t="shared" si="44"/>
        <v>0</v>
      </c>
      <c r="O202" s="306">
        <f t="shared" si="45"/>
        <v>0</v>
      </c>
      <c r="P202" s="306">
        <f t="shared" si="46"/>
        <v>0</v>
      </c>
      <c r="Q202" s="305">
        <f>IFERROR(SUMIF(紫外線照射装置!$C$30:$C$74,B202,紫外線照射装置!$K$30:$K$74)*((紫外線照射装置!$H$3-紫外線照射装置!$I$3)/紫外線照射装置!$H$3),0)</f>
        <v>0</v>
      </c>
      <c r="R202" s="306">
        <f t="shared" si="47"/>
        <v>0</v>
      </c>
      <c r="S202" s="419">
        <f t="shared" si="48"/>
        <v>0</v>
      </c>
      <c r="T202" s="305">
        <f>IFERROR(SUMIF(超音波画像診断装置!$C$30:$C$74,B202,超音波画像診断装置!$K$30:$K$74)*((超音波画像診断装置!$H$3-超音波画像診断装置!$I$3)/超音波画像診断装置!$H$3),0)</f>
        <v>0</v>
      </c>
      <c r="U202" s="306">
        <f t="shared" si="49"/>
        <v>0</v>
      </c>
      <c r="V202" s="305">
        <f>IFERROR(SUMIF(血液浄化装置!$C$30:$C$74,B202,血液浄化装置!$K$30:$K$74)*((血液浄化装置!$H$3-血液浄化装置!$I$3)/血液浄化装置!$H$3),0)</f>
        <v>0</v>
      </c>
      <c r="W202" s="306">
        <f t="shared" si="50"/>
        <v>0</v>
      </c>
      <c r="X202" s="305">
        <f>IFERROR(SUMIF(気管支鏡!$C$30:$C$74,B202,気管支鏡!$K$30:$K$74)*((気管支鏡!$H$3-気管支鏡!$I$3)/気管支鏡!$H$3),0)</f>
        <v>0</v>
      </c>
      <c r="Y202" s="306">
        <f t="shared" si="36"/>
        <v>0</v>
      </c>
      <c r="Z202" s="305">
        <f>IFERROR(SUMIF(CT撮影装置!$C$30:$C$74,B202,CT撮影装置!$K$30:$K$74)*((CT撮影装置!$H$3-CT撮影装置!$I$3)/CT撮影装置!$H$3),0)</f>
        <v>0</v>
      </c>
      <c r="AA202" s="306">
        <f t="shared" si="51"/>
        <v>0</v>
      </c>
      <c r="AB202" s="305">
        <f>IFERROR(SUMIF(生体情報モニタ!$C$30:$C$74,B202,生体情報モニタ!$K$30:$K$74)*((生体情報モニタ!$H$3-生体情報モニタ!$I$3)/生体情報モニタ!$H$3),0)</f>
        <v>0</v>
      </c>
      <c r="AC202" s="306">
        <f t="shared" si="37"/>
        <v>0</v>
      </c>
      <c r="AD202" s="305">
        <f>IFERROR(SUMIF(分娩監視装置!$C$30:$C$74,B202,分娩監視装置!$K$30:$K$74)*((分娩監視装置!$H$3-分娩監視装置!$I$3)/分娩監視装置!$H$3),0)</f>
        <v>0</v>
      </c>
      <c r="AE202" s="306">
        <f t="shared" si="52"/>
        <v>0</v>
      </c>
      <c r="AF202" s="305">
        <f>IFERROR(SUMIF(新生児モニタ!$C$30:$C$74,B202,新生児モニタ!$K$30:$K$74)*((新生児モニタ!$H$3-新生児モニタ!$I$3)/新生児モニタ!$H$3),0)</f>
        <v>0</v>
      </c>
      <c r="AG202" s="306">
        <f t="shared" si="53"/>
        <v>0</v>
      </c>
    </row>
    <row r="203" spans="2:33">
      <c r="B203" s="283" t="s">
        <v>1016</v>
      </c>
      <c r="C203" s="305">
        <f>IFERROR(SUMIF(初度設備!$C$30:$C$74,B203,初度設備!$K$30:$K$74)*((初度設備!$H$3-初度設備!$I$3)/初度設備!$H$3),0)</f>
        <v>0</v>
      </c>
      <c r="D203" s="306">
        <f t="shared" si="38"/>
        <v>0</v>
      </c>
      <c r="E203" s="305">
        <f>IFERROR(SUMIF(人工呼吸器!$C$30:$C$74,B203,人工呼吸器!$K$30:$K$74)*((人工呼吸器!$H$3-人工呼吸器!$I$3)/人工呼吸器!$H$3),0)</f>
        <v>0</v>
      </c>
      <c r="F203" s="306">
        <f t="shared" si="39"/>
        <v>0</v>
      </c>
      <c r="G203" s="306">
        <f t="shared" si="40"/>
        <v>0</v>
      </c>
      <c r="H203" s="306">
        <f t="shared" si="41"/>
        <v>0</v>
      </c>
      <c r="I203" s="305">
        <f>IFERROR(SUMIF(簡易陰圧装置!$C$30:$C$74,B203,簡易陰圧装置!$K$30:$K$74)*((簡易陰圧装置!$H$3-簡易陰圧装置!$I$3)/簡易陰圧装置!$H$3),0)</f>
        <v>0</v>
      </c>
      <c r="J203" s="306">
        <f t="shared" si="42"/>
        <v>0</v>
      </c>
      <c r="K203" s="305">
        <f>IFERROR(SUMIF(簡易ベッド!$C$30:$C$74,B203,簡易ベッド!$K$30:$K$74)*((簡易ベッド!$H$3-簡易ベッド!$I$3)/簡易ベッド!$H$3),0)</f>
        <v>0</v>
      </c>
      <c r="L203" s="306">
        <f t="shared" si="43"/>
        <v>0</v>
      </c>
      <c r="M203" s="305">
        <f>IFERROR(SUMIF(体外式膜型人工肺!$C$30:$C$74,B203,体外式膜型人工肺!$K$30:$K$74)*((体外式膜型人工肺!$H$3-体外式膜型人工肺!$I$3)/体外式膜型人工肺!$H$3),0)</f>
        <v>0</v>
      </c>
      <c r="N203" s="306">
        <f t="shared" si="44"/>
        <v>0</v>
      </c>
      <c r="O203" s="306">
        <f t="shared" si="45"/>
        <v>0</v>
      </c>
      <c r="P203" s="306">
        <f t="shared" si="46"/>
        <v>0</v>
      </c>
      <c r="Q203" s="305">
        <f>IFERROR(SUMIF(紫外線照射装置!$C$30:$C$74,B203,紫外線照射装置!$K$30:$K$74)*((紫外線照射装置!$H$3-紫外線照射装置!$I$3)/紫外線照射装置!$H$3),0)</f>
        <v>0</v>
      </c>
      <c r="R203" s="306">
        <f t="shared" si="47"/>
        <v>0</v>
      </c>
      <c r="S203" s="419">
        <f t="shared" si="48"/>
        <v>0</v>
      </c>
      <c r="T203" s="305">
        <f>IFERROR(SUMIF(超音波画像診断装置!$C$30:$C$74,B203,超音波画像診断装置!$K$30:$K$74)*((超音波画像診断装置!$H$3-超音波画像診断装置!$I$3)/超音波画像診断装置!$H$3),0)</f>
        <v>0</v>
      </c>
      <c r="U203" s="306">
        <f t="shared" si="49"/>
        <v>0</v>
      </c>
      <c r="V203" s="305">
        <f>IFERROR(SUMIF(血液浄化装置!$C$30:$C$74,B203,血液浄化装置!$K$30:$K$74)*((血液浄化装置!$H$3-血液浄化装置!$I$3)/血液浄化装置!$H$3),0)</f>
        <v>0</v>
      </c>
      <c r="W203" s="306">
        <f t="shared" si="50"/>
        <v>0</v>
      </c>
      <c r="X203" s="305">
        <f>IFERROR(SUMIF(気管支鏡!$C$30:$C$74,B203,気管支鏡!$K$30:$K$74)*((気管支鏡!$H$3-気管支鏡!$I$3)/気管支鏡!$H$3),0)</f>
        <v>0</v>
      </c>
      <c r="Y203" s="306">
        <f t="shared" si="36"/>
        <v>0</v>
      </c>
      <c r="Z203" s="305">
        <f>IFERROR(SUMIF(CT撮影装置!$C$30:$C$74,B203,CT撮影装置!$K$30:$K$74)*((CT撮影装置!$H$3-CT撮影装置!$I$3)/CT撮影装置!$H$3),0)</f>
        <v>0</v>
      </c>
      <c r="AA203" s="306">
        <f t="shared" si="51"/>
        <v>0</v>
      </c>
      <c r="AB203" s="305">
        <f>IFERROR(SUMIF(生体情報モニタ!$C$30:$C$74,B203,生体情報モニタ!$K$30:$K$74)*((生体情報モニタ!$H$3-生体情報モニタ!$I$3)/生体情報モニタ!$H$3),0)</f>
        <v>0</v>
      </c>
      <c r="AC203" s="306">
        <f t="shared" si="37"/>
        <v>0</v>
      </c>
      <c r="AD203" s="305">
        <f>IFERROR(SUMIF(分娩監視装置!$C$30:$C$74,B203,分娩監視装置!$K$30:$K$74)*((分娩監視装置!$H$3-分娩監視装置!$I$3)/分娩監視装置!$H$3),0)</f>
        <v>0</v>
      </c>
      <c r="AE203" s="306">
        <f t="shared" si="52"/>
        <v>0</v>
      </c>
      <c r="AF203" s="305">
        <f>IFERROR(SUMIF(新生児モニタ!$C$30:$C$74,B203,新生児モニタ!$K$30:$K$74)*((新生児モニタ!$H$3-新生児モニタ!$I$3)/新生児モニタ!$H$3),0)</f>
        <v>0</v>
      </c>
      <c r="AG203" s="306">
        <f t="shared" si="53"/>
        <v>0</v>
      </c>
    </row>
    <row r="204" spans="2:33">
      <c r="B204" s="283" t="s">
        <v>1017</v>
      </c>
      <c r="C204" s="305">
        <f>IFERROR(SUMIF(初度設備!$C$30:$C$74,B204,初度設備!$K$30:$K$74)*((初度設備!$H$3-初度設備!$I$3)/初度設備!$H$3),0)</f>
        <v>0</v>
      </c>
      <c r="D204" s="306">
        <f t="shared" si="38"/>
        <v>0</v>
      </c>
      <c r="E204" s="305">
        <f>IFERROR(SUMIF(人工呼吸器!$C$30:$C$74,B204,人工呼吸器!$K$30:$K$74)*((人工呼吸器!$H$3-人工呼吸器!$I$3)/人工呼吸器!$H$3),0)</f>
        <v>0</v>
      </c>
      <c r="F204" s="306">
        <f t="shared" si="39"/>
        <v>0</v>
      </c>
      <c r="G204" s="306">
        <f t="shared" si="40"/>
        <v>0</v>
      </c>
      <c r="H204" s="306">
        <f t="shared" si="41"/>
        <v>0</v>
      </c>
      <c r="I204" s="305">
        <f>IFERROR(SUMIF(簡易陰圧装置!$C$30:$C$74,B204,簡易陰圧装置!$K$30:$K$74)*((簡易陰圧装置!$H$3-簡易陰圧装置!$I$3)/簡易陰圧装置!$H$3),0)</f>
        <v>0</v>
      </c>
      <c r="J204" s="306">
        <f t="shared" si="42"/>
        <v>0</v>
      </c>
      <c r="K204" s="305">
        <f>IFERROR(SUMIF(簡易ベッド!$C$30:$C$74,B204,簡易ベッド!$K$30:$K$74)*((簡易ベッド!$H$3-簡易ベッド!$I$3)/簡易ベッド!$H$3),0)</f>
        <v>0</v>
      </c>
      <c r="L204" s="306">
        <f t="shared" si="43"/>
        <v>0</v>
      </c>
      <c r="M204" s="305">
        <f>IFERROR(SUMIF(体外式膜型人工肺!$C$30:$C$74,B204,体外式膜型人工肺!$K$30:$K$74)*((体外式膜型人工肺!$H$3-体外式膜型人工肺!$I$3)/体外式膜型人工肺!$H$3),0)</f>
        <v>0</v>
      </c>
      <c r="N204" s="306">
        <f t="shared" si="44"/>
        <v>0</v>
      </c>
      <c r="O204" s="306">
        <f t="shared" si="45"/>
        <v>0</v>
      </c>
      <c r="P204" s="306">
        <f t="shared" si="46"/>
        <v>0</v>
      </c>
      <c r="Q204" s="305">
        <f>IFERROR(SUMIF(紫外線照射装置!$C$30:$C$74,B204,紫外線照射装置!$K$30:$K$74)*((紫外線照射装置!$H$3-紫外線照射装置!$I$3)/紫外線照射装置!$H$3),0)</f>
        <v>0</v>
      </c>
      <c r="R204" s="306">
        <f t="shared" si="47"/>
        <v>0</v>
      </c>
      <c r="S204" s="419">
        <f t="shared" si="48"/>
        <v>0</v>
      </c>
      <c r="T204" s="305">
        <f>IFERROR(SUMIF(超音波画像診断装置!$C$30:$C$74,B204,超音波画像診断装置!$K$30:$K$74)*((超音波画像診断装置!$H$3-超音波画像診断装置!$I$3)/超音波画像診断装置!$H$3),0)</f>
        <v>0</v>
      </c>
      <c r="U204" s="306">
        <f t="shared" si="49"/>
        <v>0</v>
      </c>
      <c r="V204" s="305">
        <f>IFERROR(SUMIF(血液浄化装置!$C$30:$C$74,B204,血液浄化装置!$K$30:$K$74)*((血液浄化装置!$H$3-血液浄化装置!$I$3)/血液浄化装置!$H$3),0)</f>
        <v>0</v>
      </c>
      <c r="W204" s="306">
        <f t="shared" si="50"/>
        <v>0</v>
      </c>
      <c r="X204" s="305">
        <f>IFERROR(SUMIF(気管支鏡!$C$30:$C$74,B204,気管支鏡!$K$30:$K$74)*((気管支鏡!$H$3-気管支鏡!$I$3)/気管支鏡!$H$3),0)</f>
        <v>0</v>
      </c>
      <c r="Y204" s="306">
        <f t="shared" si="36"/>
        <v>0</v>
      </c>
      <c r="Z204" s="305">
        <f>IFERROR(SUMIF(CT撮影装置!$C$30:$C$74,B204,CT撮影装置!$K$30:$K$74)*((CT撮影装置!$H$3-CT撮影装置!$I$3)/CT撮影装置!$H$3),0)</f>
        <v>0</v>
      </c>
      <c r="AA204" s="306">
        <f t="shared" si="51"/>
        <v>0</v>
      </c>
      <c r="AB204" s="305">
        <f>IFERROR(SUMIF(生体情報モニタ!$C$30:$C$74,B204,生体情報モニタ!$K$30:$K$74)*((生体情報モニタ!$H$3-生体情報モニタ!$I$3)/生体情報モニタ!$H$3),0)</f>
        <v>0</v>
      </c>
      <c r="AC204" s="306">
        <f t="shared" si="37"/>
        <v>0</v>
      </c>
      <c r="AD204" s="305">
        <f>IFERROR(SUMIF(分娩監視装置!$C$30:$C$74,B204,分娩監視装置!$K$30:$K$74)*((分娩監視装置!$H$3-分娩監視装置!$I$3)/分娩監視装置!$H$3),0)</f>
        <v>0</v>
      </c>
      <c r="AE204" s="306">
        <f t="shared" si="52"/>
        <v>0</v>
      </c>
      <c r="AF204" s="305">
        <f>IFERROR(SUMIF(新生児モニタ!$C$30:$C$74,B204,新生児モニタ!$K$30:$K$74)*((新生児モニタ!$H$3-新生児モニタ!$I$3)/新生児モニタ!$H$3),0)</f>
        <v>0</v>
      </c>
      <c r="AG204" s="306">
        <f t="shared" si="53"/>
        <v>0</v>
      </c>
    </row>
    <row r="205" spans="2:33">
      <c r="B205" s="283" t="s">
        <v>1018</v>
      </c>
      <c r="C205" s="305">
        <f>IFERROR(SUMIF(初度設備!$C$30:$C$74,B205,初度設備!$K$30:$K$74)*((初度設備!$H$3-初度設備!$I$3)/初度設備!$H$3),0)</f>
        <v>0</v>
      </c>
      <c r="D205" s="306">
        <f t="shared" si="38"/>
        <v>0</v>
      </c>
      <c r="E205" s="305">
        <f>IFERROR(SUMIF(人工呼吸器!$C$30:$C$74,B205,人工呼吸器!$K$30:$K$74)*((人工呼吸器!$H$3-人工呼吸器!$I$3)/人工呼吸器!$H$3),0)</f>
        <v>0</v>
      </c>
      <c r="F205" s="306">
        <f t="shared" si="39"/>
        <v>0</v>
      </c>
      <c r="G205" s="306">
        <f t="shared" si="40"/>
        <v>0</v>
      </c>
      <c r="H205" s="306">
        <f t="shared" si="41"/>
        <v>0</v>
      </c>
      <c r="I205" s="305">
        <f>IFERROR(SUMIF(簡易陰圧装置!$C$30:$C$74,B205,簡易陰圧装置!$K$30:$K$74)*((簡易陰圧装置!$H$3-簡易陰圧装置!$I$3)/簡易陰圧装置!$H$3),0)</f>
        <v>0</v>
      </c>
      <c r="J205" s="306">
        <f t="shared" si="42"/>
        <v>0</v>
      </c>
      <c r="K205" s="305">
        <f>IFERROR(SUMIF(簡易ベッド!$C$30:$C$74,B205,簡易ベッド!$K$30:$K$74)*((簡易ベッド!$H$3-簡易ベッド!$I$3)/簡易ベッド!$H$3),0)</f>
        <v>0</v>
      </c>
      <c r="L205" s="306">
        <f t="shared" si="43"/>
        <v>0</v>
      </c>
      <c r="M205" s="305">
        <f>IFERROR(SUMIF(体外式膜型人工肺!$C$30:$C$74,B205,体外式膜型人工肺!$K$30:$K$74)*((体外式膜型人工肺!$H$3-体外式膜型人工肺!$I$3)/体外式膜型人工肺!$H$3),0)</f>
        <v>0</v>
      </c>
      <c r="N205" s="306">
        <f t="shared" si="44"/>
        <v>0</v>
      </c>
      <c r="O205" s="306">
        <f t="shared" si="45"/>
        <v>0</v>
      </c>
      <c r="P205" s="306">
        <f t="shared" si="46"/>
        <v>0</v>
      </c>
      <c r="Q205" s="305">
        <f>IFERROR(SUMIF(紫外線照射装置!$C$30:$C$74,B205,紫外線照射装置!$K$30:$K$74)*((紫外線照射装置!$H$3-紫外線照射装置!$I$3)/紫外線照射装置!$H$3),0)</f>
        <v>0</v>
      </c>
      <c r="R205" s="306">
        <f t="shared" si="47"/>
        <v>0</v>
      </c>
      <c r="S205" s="419">
        <f t="shared" si="48"/>
        <v>0</v>
      </c>
      <c r="T205" s="305">
        <f>IFERROR(SUMIF(超音波画像診断装置!$C$30:$C$74,B205,超音波画像診断装置!$K$30:$K$74)*((超音波画像診断装置!$H$3-超音波画像診断装置!$I$3)/超音波画像診断装置!$H$3),0)</f>
        <v>0</v>
      </c>
      <c r="U205" s="306">
        <f t="shared" si="49"/>
        <v>0</v>
      </c>
      <c r="V205" s="305">
        <f>IFERROR(SUMIF(血液浄化装置!$C$30:$C$74,B205,血液浄化装置!$K$30:$K$74)*((血液浄化装置!$H$3-血液浄化装置!$I$3)/血液浄化装置!$H$3),0)</f>
        <v>0</v>
      </c>
      <c r="W205" s="306">
        <f t="shared" si="50"/>
        <v>0</v>
      </c>
      <c r="X205" s="305">
        <f>IFERROR(SUMIF(気管支鏡!$C$30:$C$74,B205,気管支鏡!$K$30:$K$74)*((気管支鏡!$H$3-気管支鏡!$I$3)/気管支鏡!$H$3),0)</f>
        <v>0</v>
      </c>
      <c r="Y205" s="306">
        <f t="shared" si="36"/>
        <v>0</v>
      </c>
      <c r="Z205" s="305">
        <f>IFERROR(SUMIF(CT撮影装置!$C$30:$C$74,B205,CT撮影装置!$K$30:$K$74)*((CT撮影装置!$H$3-CT撮影装置!$I$3)/CT撮影装置!$H$3),0)</f>
        <v>0</v>
      </c>
      <c r="AA205" s="306">
        <f t="shared" si="51"/>
        <v>0</v>
      </c>
      <c r="AB205" s="305">
        <f>IFERROR(SUMIF(生体情報モニタ!$C$30:$C$74,B205,生体情報モニタ!$K$30:$K$74)*((生体情報モニタ!$H$3-生体情報モニタ!$I$3)/生体情報モニタ!$H$3),0)</f>
        <v>0</v>
      </c>
      <c r="AC205" s="306">
        <f t="shared" si="37"/>
        <v>0</v>
      </c>
      <c r="AD205" s="305">
        <f>IFERROR(SUMIF(分娩監視装置!$C$30:$C$74,B205,分娩監視装置!$K$30:$K$74)*((分娩監視装置!$H$3-分娩監視装置!$I$3)/分娩監視装置!$H$3),0)</f>
        <v>0</v>
      </c>
      <c r="AE205" s="306">
        <f t="shared" si="52"/>
        <v>0</v>
      </c>
      <c r="AF205" s="305">
        <f>IFERROR(SUMIF(新生児モニタ!$C$30:$C$74,B205,新生児モニタ!$K$30:$K$74)*((新生児モニタ!$H$3-新生児モニタ!$I$3)/新生児モニタ!$H$3),0)</f>
        <v>0</v>
      </c>
      <c r="AG205" s="306">
        <f t="shared" si="53"/>
        <v>0</v>
      </c>
    </row>
    <row r="206" spans="2:33">
      <c r="B206" s="283" t="s">
        <v>1019</v>
      </c>
      <c r="C206" s="305">
        <f>IFERROR(SUMIF(初度設備!$C$30:$C$74,B206,初度設備!$K$30:$K$74)*((初度設備!$H$3-初度設備!$I$3)/初度設備!$H$3),0)</f>
        <v>0</v>
      </c>
      <c r="D206" s="306">
        <f t="shared" si="38"/>
        <v>0</v>
      </c>
      <c r="E206" s="305">
        <f>IFERROR(SUMIF(人工呼吸器!$C$30:$C$74,B206,人工呼吸器!$K$30:$K$74)*((人工呼吸器!$H$3-人工呼吸器!$I$3)/人工呼吸器!$H$3),0)</f>
        <v>0</v>
      </c>
      <c r="F206" s="306">
        <f t="shared" si="39"/>
        <v>0</v>
      </c>
      <c r="G206" s="306">
        <f t="shared" si="40"/>
        <v>0</v>
      </c>
      <c r="H206" s="306">
        <f t="shared" si="41"/>
        <v>0</v>
      </c>
      <c r="I206" s="305">
        <f>IFERROR(SUMIF(簡易陰圧装置!$C$30:$C$74,B206,簡易陰圧装置!$K$30:$K$74)*((簡易陰圧装置!$H$3-簡易陰圧装置!$I$3)/簡易陰圧装置!$H$3),0)</f>
        <v>0</v>
      </c>
      <c r="J206" s="306">
        <f t="shared" si="42"/>
        <v>0</v>
      </c>
      <c r="K206" s="305">
        <f>IFERROR(SUMIF(簡易ベッド!$C$30:$C$74,B206,簡易ベッド!$K$30:$K$74)*((簡易ベッド!$H$3-簡易ベッド!$I$3)/簡易ベッド!$H$3),0)</f>
        <v>0</v>
      </c>
      <c r="L206" s="306">
        <f t="shared" si="43"/>
        <v>0</v>
      </c>
      <c r="M206" s="305">
        <f>IFERROR(SUMIF(体外式膜型人工肺!$C$30:$C$74,B206,体外式膜型人工肺!$K$30:$K$74)*((体外式膜型人工肺!$H$3-体外式膜型人工肺!$I$3)/体外式膜型人工肺!$H$3),0)</f>
        <v>0</v>
      </c>
      <c r="N206" s="306">
        <f t="shared" si="44"/>
        <v>0</v>
      </c>
      <c r="O206" s="306">
        <f t="shared" si="45"/>
        <v>0</v>
      </c>
      <c r="P206" s="306">
        <f t="shared" si="46"/>
        <v>0</v>
      </c>
      <c r="Q206" s="305">
        <f>IFERROR(SUMIF(紫外線照射装置!$C$30:$C$74,B206,紫外線照射装置!$K$30:$K$74)*((紫外線照射装置!$H$3-紫外線照射装置!$I$3)/紫外線照射装置!$H$3),0)</f>
        <v>0</v>
      </c>
      <c r="R206" s="306">
        <f t="shared" si="47"/>
        <v>0</v>
      </c>
      <c r="S206" s="419">
        <f t="shared" si="48"/>
        <v>0</v>
      </c>
      <c r="T206" s="305">
        <f>IFERROR(SUMIF(超音波画像診断装置!$C$30:$C$74,B206,超音波画像診断装置!$K$30:$K$74)*((超音波画像診断装置!$H$3-超音波画像診断装置!$I$3)/超音波画像診断装置!$H$3),0)</f>
        <v>0</v>
      </c>
      <c r="U206" s="306">
        <f t="shared" si="49"/>
        <v>0</v>
      </c>
      <c r="V206" s="305">
        <f>IFERROR(SUMIF(血液浄化装置!$C$30:$C$74,B206,血液浄化装置!$K$30:$K$74)*((血液浄化装置!$H$3-血液浄化装置!$I$3)/血液浄化装置!$H$3),0)</f>
        <v>0</v>
      </c>
      <c r="W206" s="306">
        <f t="shared" si="50"/>
        <v>0</v>
      </c>
      <c r="X206" s="305">
        <f>IFERROR(SUMIF(気管支鏡!$C$30:$C$74,B206,気管支鏡!$K$30:$K$74)*((気管支鏡!$H$3-気管支鏡!$I$3)/気管支鏡!$H$3),0)</f>
        <v>0</v>
      </c>
      <c r="Y206" s="306">
        <f t="shared" si="36"/>
        <v>0</v>
      </c>
      <c r="Z206" s="305">
        <f>IFERROR(SUMIF(CT撮影装置!$C$30:$C$74,B206,CT撮影装置!$K$30:$K$74)*((CT撮影装置!$H$3-CT撮影装置!$I$3)/CT撮影装置!$H$3),0)</f>
        <v>0</v>
      </c>
      <c r="AA206" s="306">
        <f t="shared" si="51"/>
        <v>0</v>
      </c>
      <c r="AB206" s="305">
        <f>IFERROR(SUMIF(生体情報モニタ!$C$30:$C$74,B206,生体情報モニタ!$K$30:$K$74)*((生体情報モニタ!$H$3-生体情報モニタ!$I$3)/生体情報モニタ!$H$3),0)</f>
        <v>0</v>
      </c>
      <c r="AC206" s="306">
        <f t="shared" si="37"/>
        <v>0</v>
      </c>
      <c r="AD206" s="305">
        <f>IFERROR(SUMIF(分娩監視装置!$C$30:$C$74,B206,分娩監視装置!$K$30:$K$74)*((分娩監視装置!$H$3-分娩監視装置!$I$3)/分娩監視装置!$H$3),0)</f>
        <v>0</v>
      </c>
      <c r="AE206" s="306">
        <f t="shared" si="52"/>
        <v>0</v>
      </c>
      <c r="AF206" s="305">
        <f>IFERROR(SUMIF(新生児モニタ!$C$30:$C$74,B206,新生児モニタ!$K$30:$K$74)*((新生児モニタ!$H$3-新生児モニタ!$I$3)/新生児モニタ!$H$3),0)</f>
        <v>0</v>
      </c>
      <c r="AG206" s="306">
        <f t="shared" si="53"/>
        <v>0</v>
      </c>
    </row>
    <row r="207" spans="2:33">
      <c r="B207" s="283" t="s">
        <v>1020</v>
      </c>
      <c r="C207" s="305">
        <f>IFERROR(SUMIF(初度設備!$C$30:$C$74,B207,初度設備!$K$30:$K$74)*((初度設備!$H$3-初度設備!$I$3)/初度設備!$H$3),0)</f>
        <v>0</v>
      </c>
      <c r="D207" s="306">
        <f t="shared" si="38"/>
        <v>0</v>
      </c>
      <c r="E207" s="305">
        <f>IFERROR(SUMIF(人工呼吸器!$C$30:$C$74,B207,人工呼吸器!$K$30:$K$74)*((人工呼吸器!$H$3-人工呼吸器!$I$3)/人工呼吸器!$H$3),0)</f>
        <v>0</v>
      </c>
      <c r="F207" s="306">
        <f t="shared" si="39"/>
        <v>0</v>
      </c>
      <c r="G207" s="306">
        <f t="shared" si="40"/>
        <v>0</v>
      </c>
      <c r="H207" s="306">
        <f t="shared" si="41"/>
        <v>0</v>
      </c>
      <c r="I207" s="305">
        <f>IFERROR(SUMIF(簡易陰圧装置!$C$30:$C$74,B207,簡易陰圧装置!$K$30:$K$74)*((簡易陰圧装置!$H$3-簡易陰圧装置!$I$3)/簡易陰圧装置!$H$3),0)</f>
        <v>0</v>
      </c>
      <c r="J207" s="306">
        <f t="shared" si="42"/>
        <v>0</v>
      </c>
      <c r="K207" s="305">
        <f>IFERROR(SUMIF(簡易ベッド!$C$30:$C$74,B207,簡易ベッド!$K$30:$K$74)*((簡易ベッド!$H$3-簡易ベッド!$I$3)/簡易ベッド!$H$3),0)</f>
        <v>0</v>
      </c>
      <c r="L207" s="306">
        <f t="shared" si="43"/>
        <v>0</v>
      </c>
      <c r="M207" s="305">
        <f>IFERROR(SUMIF(体外式膜型人工肺!$C$30:$C$74,B207,体外式膜型人工肺!$K$30:$K$74)*((体外式膜型人工肺!$H$3-体外式膜型人工肺!$I$3)/体外式膜型人工肺!$H$3),0)</f>
        <v>0</v>
      </c>
      <c r="N207" s="306">
        <f t="shared" si="44"/>
        <v>0</v>
      </c>
      <c r="O207" s="306">
        <f t="shared" si="45"/>
        <v>0</v>
      </c>
      <c r="P207" s="306">
        <f t="shared" si="46"/>
        <v>0</v>
      </c>
      <c r="Q207" s="305">
        <f>IFERROR(SUMIF(紫外線照射装置!$C$30:$C$74,B207,紫外線照射装置!$K$30:$K$74)*((紫外線照射装置!$H$3-紫外線照射装置!$I$3)/紫外線照射装置!$H$3),0)</f>
        <v>0</v>
      </c>
      <c r="R207" s="306">
        <f t="shared" si="47"/>
        <v>0</v>
      </c>
      <c r="S207" s="419">
        <f t="shared" si="48"/>
        <v>0</v>
      </c>
      <c r="T207" s="305">
        <f>IFERROR(SUMIF(超音波画像診断装置!$C$30:$C$74,B207,超音波画像診断装置!$K$30:$K$74)*((超音波画像診断装置!$H$3-超音波画像診断装置!$I$3)/超音波画像診断装置!$H$3),0)</f>
        <v>0</v>
      </c>
      <c r="U207" s="306">
        <f t="shared" si="49"/>
        <v>0</v>
      </c>
      <c r="V207" s="305">
        <f>IFERROR(SUMIF(血液浄化装置!$C$30:$C$74,B207,血液浄化装置!$K$30:$K$74)*((血液浄化装置!$H$3-血液浄化装置!$I$3)/血液浄化装置!$H$3),0)</f>
        <v>0</v>
      </c>
      <c r="W207" s="306">
        <f t="shared" si="50"/>
        <v>0</v>
      </c>
      <c r="X207" s="305">
        <f>IFERROR(SUMIF(気管支鏡!$C$30:$C$74,B207,気管支鏡!$K$30:$K$74)*((気管支鏡!$H$3-気管支鏡!$I$3)/気管支鏡!$H$3),0)</f>
        <v>0</v>
      </c>
      <c r="Y207" s="306">
        <f t="shared" si="36"/>
        <v>0</v>
      </c>
      <c r="Z207" s="305">
        <f>IFERROR(SUMIF(CT撮影装置!$C$30:$C$74,B207,CT撮影装置!$K$30:$K$74)*((CT撮影装置!$H$3-CT撮影装置!$I$3)/CT撮影装置!$H$3),0)</f>
        <v>0</v>
      </c>
      <c r="AA207" s="306">
        <f t="shared" si="51"/>
        <v>0</v>
      </c>
      <c r="AB207" s="305">
        <f>IFERROR(SUMIF(生体情報モニタ!$C$30:$C$74,B207,生体情報モニタ!$K$30:$K$74)*((生体情報モニタ!$H$3-生体情報モニタ!$I$3)/生体情報モニタ!$H$3),0)</f>
        <v>0</v>
      </c>
      <c r="AC207" s="306">
        <f t="shared" si="37"/>
        <v>0</v>
      </c>
      <c r="AD207" s="305">
        <f>IFERROR(SUMIF(分娩監視装置!$C$30:$C$74,B207,分娩監視装置!$K$30:$K$74)*((分娩監視装置!$H$3-分娩監視装置!$I$3)/分娩監視装置!$H$3),0)</f>
        <v>0</v>
      </c>
      <c r="AE207" s="306">
        <f t="shared" si="52"/>
        <v>0</v>
      </c>
      <c r="AF207" s="305">
        <f>IFERROR(SUMIF(新生児モニタ!$C$30:$C$74,B207,新生児モニタ!$K$30:$K$74)*((新生児モニタ!$H$3-新生児モニタ!$I$3)/新生児モニタ!$H$3),0)</f>
        <v>0</v>
      </c>
      <c r="AG207" s="306">
        <f t="shared" si="53"/>
        <v>0</v>
      </c>
    </row>
    <row r="208" spans="2:33">
      <c r="B208" s="283" t="s">
        <v>1021</v>
      </c>
      <c r="C208" s="305">
        <f>IFERROR(SUMIF(初度設備!$C$30:$C$74,B208,初度設備!$K$30:$K$74)*((初度設備!$H$3-初度設備!$I$3)/初度設備!$H$3),0)</f>
        <v>0</v>
      </c>
      <c r="D208" s="306">
        <f t="shared" si="38"/>
        <v>0</v>
      </c>
      <c r="E208" s="305">
        <f>IFERROR(SUMIF(人工呼吸器!$C$30:$C$74,B208,人工呼吸器!$K$30:$K$74)*((人工呼吸器!$H$3-人工呼吸器!$I$3)/人工呼吸器!$H$3),0)</f>
        <v>0</v>
      </c>
      <c r="F208" s="306">
        <f t="shared" si="39"/>
        <v>0</v>
      </c>
      <c r="G208" s="306">
        <f t="shared" si="40"/>
        <v>0</v>
      </c>
      <c r="H208" s="306">
        <f t="shared" si="41"/>
        <v>0</v>
      </c>
      <c r="I208" s="305">
        <f>IFERROR(SUMIF(簡易陰圧装置!$C$30:$C$74,B208,簡易陰圧装置!$K$30:$K$74)*((簡易陰圧装置!$H$3-簡易陰圧装置!$I$3)/簡易陰圧装置!$H$3),0)</f>
        <v>0</v>
      </c>
      <c r="J208" s="306">
        <f t="shared" si="42"/>
        <v>0</v>
      </c>
      <c r="K208" s="305">
        <f>IFERROR(SUMIF(簡易ベッド!$C$30:$C$74,B208,簡易ベッド!$K$30:$K$74)*((簡易ベッド!$H$3-簡易ベッド!$I$3)/簡易ベッド!$H$3),0)</f>
        <v>0</v>
      </c>
      <c r="L208" s="306">
        <f t="shared" si="43"/>
        <v>0</v>
      </c>
      <c r="M208" s="305">
        <f>IFERROR(SUMIF(体外式膜型人工肺!$C$30:$C$74,B208,体外式膜型人工肺!$K$30:$K$74)*((体外式膜型人工肺!$H$3-体外式膜型人工肺!$I$3)/体外式膜型人工肺!$H$3),0)</f>
        <v>0</v>
      </c>
      <c r="N208" s="306">
        <f t="shared" si="44"/>
        <v>0</v>
      </c>
      <c r="O208" s="306">
        <f t="shared" si="45"/>
        <v>0</v>
      </c>
      <c r="P208" s="306">
        <f t="shared" si="46"/>
        <v>0</v>
      </c>
      <c r="Q208" s="305">
        <f>IFERROR(SUMIF(紫外線照射装置!$C$30:$C$74,B208,紫外線照射装置!$K$30:$K$74)*((紫外線照射装置!$H$3-紫外線照射装置!$I$3)/紫外線照射装置!$H$3),0)</f>
        <v>0</v>
      </c>
      <c r="R208" s="306">
        <f t="shared" si="47"/>
        <v>0</v>
      </c>
      <c r="S208" s="419">
        <f t="shared" si="48"/>
        <v>0</v>
      </c>
      <c r="T208" s="305">
        <f>IFERROR(SUMIF(超音波画像診断装置!$C$30:$C$74,B208,超音波画像診断装置!$K$30:$K$74)*((超音波画像診断装置!$H$3-超音波画像診断装置!$I$3)/超音波画像診断装置!$H$3),0)</f>
        <v>0</v>
      </c>
      <c r="U208" s="306">
        <f t="shared" si="49"/>
        <v>0</v>
      </c>
      <c r="V208" s="305">
        <f>IFERROR(SUMIF(血液浄化装置!$C$30:$C$74,B208,血液浄化装置!$K$30:$K$74)*((血液浄化装置!$H$3-血液浄化装置!$I$3)/血液浄化装置!$H$3),0)</f>
        <v>0</v>
      </c>
      <c r="W208" s="306">
        <f t="shared" si="50"/>
        <v>0</v>
      </c>
      <c r="X208" s="305">
        <f>IFERROR(SUMIF(気管支鏡!$C$30:$C$74,B208,気管支鏡!$K$30:$K$74)*((気管支鏡!$H$3-気管支鏡!$I$3)/気管支鏡!$H$3),0)</f>
        <v>0</v>
      </c>
      <c r="Y208" s="306">
        <f t="shared" si="36"/>
        <v>0</v>
      </c>
      <c r="Z208" s="305">
        <f>IFERROR(SUMIF(CT撮影装置!$C$30:$C$74,B208,CT撮影装置!$K$30:$K$74)*((CT撮影装置!$H$3-CT撮影装置!$I$3)/CT撮影装置!$H$3),0)</f>
        <v>0</v>
      </c>
      <c r="AA208" s="306">
        <f t="shared" si="51"/>
        <v>0</v>
      </c>
      <c r="AB208" s="305">
        <f>IFERROR(SUMIF(生体情報モニタ!$C$30:$C$74,B208,生体情報モニタ!$K$30:$K$74)*((生体情報モニタ!$H$3-生体情報モニタ!$I$3)/生体情報モニタ!$H$3),0)</f>
        <v>0</v>
      </c>
      <c r="AC208" s="306">
        <f t="shared" si="37"/>
        <v>0</v>
      </c>
      <c r="AD208" s="305">
        <f>IFERROR(SUMIF(分娩監視装置!$C$30:$C$74,B208,分娩監視装置!$K$30:$K$74)*((分娩監視装置!$H$3-分娩監視装置!$I$3)/分娩監視装置!$H$3),0)</f>
        <v>0</v>
      </c>
      <c r="AE208" s="306">
        <f t="shared" si="52"/>
        <v>0</v>
      </c>
      <c r="AF208" s="305">
        <f>IFERROR(SUMIF(新生児モニタ!$C$30:$C$74,B208,新生児モニタ!$K$30:$K$74)*((新生児モニタ!$H$3-新生児モニタ!$I$3)/新生児モニタ!$H$3),0)</f>
        <v>0</v>
      </c>
      <c r="AG208" s="306">
        <f t="shared" si="53"/>
        <v>0</v>
      </c>
    </row>
    <row r="209" spans="2:33">
      <c r="B209" s="283" t="s">
        <v>1022</v>
      </c>
      <c r="C209" s="305">
        <f>IFERROR(SUMIF(初度設備!$C$30:$C$74,B209,初度設備!$K$30:$K$74)*((初度設備!$H$3-初度設備!$I$3)/初度設備!$H$3),0)</f>
        <v>0</v>
      </c>
      <c r="D209" s="306">
        <f t="shared" si="38"/>
        <v>0</v>
      </c>
      <c r="E209" s="305">
        <f>IFERROR(SUMIF(人工呼吸器!$C$30:$C$74,B209,人工呼吸器!$K$30:$K$74)*((人工呼吸器!$H$3-人工呼吸器!$I$3)/人工呼吸器!$H$3),0)</f>
        <v>0</v>
      </c>
      <c r="F209" s="306">
        <f t="shared" si="39"/>
        <v>0</v>
      </c>
      <c r="G209" s="306">
        <f t="shared" si="40"/>
        <v>0</v>
      </c>
      <c r="H209" s="306">
        <f t="shared" si="41"/>
        <v>0</v>
      </c>
      <c r="I209" s="305">
        <f>IFERROR(SUMIF(簡易陰圧装置!$C$30:$C$74,B209,簡易陰圧装置!$K$30:$K$74)*((簡易陰圧装置!$H$3-簡易陰圧装置!$I$3)/簡易陰圧装置!$H$3),0)</f>
        <v>0</v>
      </c>
      <c r="J209" s="306">
        <f t="shared" si="42"/>
        <v>0</v>
      </c>
      <c r="K209" s="305">
        <f>IFERROR(SUMIF(簡易ベッド!$C$30:$C$74,B209,簡易ベッド!$K$30:$K$74)*((簡易ベッド!$H$3-簡易ベッド!$I$3)/簡易ベッド!$H$3),0)</f>
        <v>0</v>
      </c>
      <c r="L209" s="306">
        <f t="shared" si="43"/>
        <v>0</v>
      </c>
      <c r="M209" s="305">
        <f>IFERROR(SUMIF(体外式膜型人工肺!$C$30:$C$74,B209,体外式膜型人工肺!$K$30:$K$74)*((体外式膜型人工肺!$H$3-体外式膜型人工肺!$I$3)/体外式膜型人工肺!$H$3),0)</f>
        <v>0</v>
      </c>
      <c r="N209" s="306">
        <f t="shared" si="44"/>
        <v>0</v>
      </c>
      <c r="O209" s="306">
        <f t="shared" si="45"/>
        <v>0</v>
      </c>
      <c r="P209" s="306">
        <f t="shared" si="46"/>
        <v>0</v>
      </c>
      <c r="Q209" s="305">
        <f>IFERROR(SUMIF(紫外線照射装置!$C$30:$C$74,B209,紫外線照射装置!$K$30:$K$74)*((紫外線照射装置!$H$3-紫外線照射装置!$I$3)/紫外線照射装置!$H$3),0)</f>
        <v>0</v>
      </c>
      <c r="R209" s="306">
        <f t="shared" si="47"/>
        <v>0</v>
      </c>
      <c r="S209" s="419">
        <f t="shared" si="48"/>
        <v>0</v>
      </c>
      <c r="T209" s="305">
        <f>IFERROR(SUMIF(超音波画像診断装置!$C$30:$C$74,B209,超音波画像診断装置!$K$30:$K$74)*((超音波画像診断装置!$H$3-超音波画像診断装置!$I$3)/超音波画像診断装置!$H$3),0)</f>
        <v>0</v>
      </c>
      <c r="U209" s="306">
        <f t="shared" si="49"/>
        <v>0</v>
      </c>
      <c r="V209" s="305">
        <f>IFERROR(SUMIF(血液浄化装置!$C$30:$C$74,B209,血液浄化装置!$K$30:$K$74)*((血液浄化装置!$H$3-血液浄化装置!$I$3)/血液浄化装置!$H$3),0)</f>
        <v>0</v>
      </c>
      <c r="W209" s="306">
        <f t="shared" si="50"/>
        <v>0</v>
      </c>
      <c r="X209" s="305">
        <f>IFERROR(SUMIF(気管支鏡!$C$30:$C$74,B209,気管支鏡!$K$30:$K$74)*((気管支鏡!$H$3-気管支鏡!$I$3)/気管支鏡!$H$3),0)</f>
        <v>0</v>
      </c>
      <c r="Y209" s="306">
        <f t="shared" si="36"/>
        <v>0</v>
      </c>
      <c r="Z209" s="305">
        <f>IFERROR(SUMIF(CT撮影装置!$C$30:$C$74,B209,CT撮影装置!$K$30:$K$74)*((CT撮影装置!$H$3-CT撮影装置!$I$3)/CT撮影装置!$H$3),0)</f>
        <v>0</v>
      </c>
      <c r="AA209" s="306">
        <f t="shared" si="51"/>
        <v>0</v>
      </c>
      <c r="AB209" s="305">
        <f>IFERROR(SUMIF(生体情報モニタ!$C$30:$C$74,B209,生体情報モニタ!$K$30:$K$74)*((生体情報モニタ!$H$3-生体情報モニタ!$I$3)/生体情報モニタ!$H$3),0)</f>
        <v>0</v>
      </c>
      <c r="AC209" s="306">
        <f t="shared" si="37"/>
        <v>0</v>
      </c>
      <c r="AD209" s="305">
        <f>IFERROR(SUMIF(分娩監視装置!$C$30:$C$74,B209,分娩監視装置!$K$30:$K$74)*((分娩監視装置!$H$3-分娩監視装置!$I$3)/分娩監視装置!$H$3),0)</f>
        <v>0</v>
      </c>
      <c r="AE209" s="306">
        <f t="shared" si="52"/>
        <v>0</v>
      </c>
      <c r="AF209" s="305">
        <f>IFERROR(SUMIF(新生児モニタ!$C$30:$C$74,B209,新生児モニタ!$K$30:$K$74)*((新生児モニタ!$H$3-新生児モニタ!$I$3)/新生児モニタ!$H$3),0)</f>
        <v>0</v>
      </c>
      <c r="AG209" s="306">
        <f t="shared" si="53"/>
        <v>0</v>
      </c>
    </row>
    <row r="210" spans="2:33">
      <c r="B210" s="283" t="s">
        <v>1023</v>
      </c>
      <c r="C210" s="305">
        <f>IFERROR(SUMIF(初度設備!$C$30:$C$74,B210,初度設備!$K$30:$K$74)*((初度設備!$H$3-初度設備!$I$3)/初度設備!$H$3),0)</f>
        <v>0</v>
      </c>
      <c r="D210" s="306">
        <f t="shared" si="38"/>
        <v>0</v>
      </c>
      <c r="E210" s="305">
        <f>IFERROR(SUMIF(人工呼吸器!$C$30:$C$74,B210,人工呼吸器!$K$30:$K$74)*((人工呼吸器!$H$3-人工呼吸器!$I$3)/人工呼吸器!$H$3),0)</f>
        <v>0</v>
      </c>
      <c r="F210" s="306">
        <f t="shared" si="39"/>
        <v>0</v>
      </c>
      <c r="G210" s="306">
        <f t="shared" si="40"/>
        <v>0</v>
      </c>
      <c r="H210" s="306">
        <f t="shared" si="41"/>
        <v>0</v>
      </c>
      <c r="I210" s="305">
        <f>IFERROR(SUMIF(簡易陰圧装置!$C$30:$C$74,B210,簡易陰圧装置!$K$30:$K$74)*((簡易陰圧装置!$H$3-簡易陰圧装置!$I$3)/簡易陰圧装置!$H$3),0)</f>
        <v>0</v>
      </c>
      <c r="J210" s="306">
        <f t="shared" si="42"/>
        <v>0</v>
      </c>
      <c r="K210" s="305">
        <f>IFERROR(SUMIF(簡易ベッド!$C$30:$C$74,B210,簡易ベッド!$K$30:$K$74)*((簡易ベッド!$H$3-簡易ベッド!$I$3)/簡易ベッド!$H$3),0)</f>
        <v>0</v>
      </c>
      <c r="L210" s="306">
        <f t="shared" si="43"/>
        <v>0</v>
      </c>
      <c r="M210" s="305">
        <f>IFERROR(SUMIF(体外式膜型人工肺!$C$30:$C$74,B210,体外式膜型人工肺!$K$30:$K$74)*((体外式膜型人工肺!$H$3-体外式膜型人工肺!$I$3)/体外式膜型人工肺!$H$3),0)</f>
        <v>0</v>
      </c>
      <c r="N210" s="306">
        <f t="shared" si="44"/>
        <v>0</v>
      </c>
      <c r="O210" s="306">
        <f t="shared" si="45"/>
        <v>0</v>
      </c>
      <c r="P210" s="306">
        <f t="shared" si="46"/>
        <v>0</v>
      </c>
      <c r="Q210" s="305">
        <f>IFERROR(SUMIF(紫外線照射装置!$C$30:$C$74,B210,紫外線照射装置!$K$30:$K$74)*((紫外線照射装置!$H$3-紫外線照射装置!$I$3)/紫外線照射装置!$H$3),0)</f>
        <v>0</v>
      </c>
      <c r="R210" s="306">
        <f t="shared" si="47"/>
        <v>0</v>
      </c>
      <c r="S210" s="419">
        <f t="shared" si="48"/>
        <v>0</v>
      </c>
      <c r="T210" s="305">
        <f>IFERROR(SUMIF(超音波画像診断装置!$C$30:$C$74,B210,超音波画像診断装置!$K$30:$K$74)*((超音波画像診断装置!$H$3-超音波画像診断装置!$I$3)/超音波画像診断装置!$H$3),0)</f>
        <v>0</v>
      </c>
      <c r="U210" s="306">
        <f t="shared" si="49"/>
        <v>0</v>
      </c>
      <c r="V210" s="305">
        <f>IFERROR(SUMIF(血液浄化装置!$C$30:$C$74,B210,血液浄化装置!$K$30:$K$74)*((血液浄化装置!$H$3-血液浄化装置!$I$3)/血液浄化装置!$H$3),0)</f>
        <v>0</v>
      </c>
      <c r="W210" s="306">
        <f t="shared" si="50"/>
        <v>0</v>
      </c>
      <c r="X210" s="305">
        <f>IFERROR(SUMIF(気管支鏡!$C$30:$C$74,B210,気管支鏡!$K$30:$K$74)*((気管支鏡!$H$3-気管支鏡!$I$3)/気管支鏡!$H$3),0)</f>
        <v>0</v>
      </c>
      <c r="Y210" s="306">
        <f t="shared" si="36"/>
        <v>0</v>
      </c>
      <c r="Z210" s="305">
        <f>IFERROR(SUMIF(CT撮影装置!$C$30:$C$74,B210,CT撮影装置!$K$30:$K$74)*((CT撮影装置!$H$3-CT撮影装置!$I$3)/CT撮影装置!$H$3),0)</f>
        <v>0</v>
      </c>
      <c r="AA210" s="306">
        <f t="shared" si="51"/>
        <v>0</v>
      </c>
      <c r="AB210" s="305">
        <f>IFERROR(SUMIF(生体情報モニタ!$C$30:$C$74,B210,生体情報モニタ!$K$30:$K$74)*((生体情報モニタ!$H$3-生体情報モニタ!$I$3)/生体情報モニタ!$H$3),0)</f>
        <v>0</v>
      </c>
      <c r="AC210" s="306">
        <f t="shared" si="37"/>
        <v>0</v>
      </c>
      <c r="AD210" s="305">
        <f>IFERROR(SUMIF(分娩監視装置!$C$30:$C$74,B210,分娩監視装置!$K$30:$K$74)*((分娩監視装置!$H$3-分娩監視装置!$I$3)/分娩監視装置!$H$3),0)</f>
        <v>0</v>
      </c>
      <c r="AE210" s="306">
        <f t="shared" si="52"/>
        <v>0</v>
      </c>
      <c r="AF210" s="305">
        <f>IFERROR(SUMIF(新生児モニタ!$C$30:$C$74,B210,新生児モニタ!$K$30:$K$74)*((新生児モニタ!$H$3-新生児モニタ!$I$3)/新生児モニタ!$H$3),0)</f>
        <v>0</v>
      </c>
      <c r="AG210" s="306">
        <f t="shared" si="53"/>
        <v>0</v>
      </c>
    </row>
    <row r="211" spans="2:33">
      <c r="B211" s="283" t="s">
        <v>1024</v>
      </c>
      <c r="C211" s="305">
        <f>IFERROR(SUMIF(初度設備!$C$30:$C$74,B211,初度設備!$K$30:$K$74)*((初度設備!$H$3-初度設備!$I$3)/初度設備!$H$3),0)</f>
        <v>0</v>
      </c>
      <c r="D211" s="306">
        <f t="shared" si="38"/>
        <v>0</v>
      </c>
      <c r="E211" s="305">
        <f>IFERROR(SUMIF(人工呼吸器!$C$30:$C$74,B211,人工呼吸器!$K$30:$K$74)*((人工呼吸器!$H$3-人工呼吸器!$I$3)/人工呼吸器!$H$3),0)</f>
        <v>0</v>
      </c>
      <c r="F211" s="306">
        <f t="shared" si="39"/>
        <v>0</v>
      </c>
      <c r="G211" s="306">
        <f t="shared" si="40"/>
        <v>0</v>
      </c>
      <c r="H211" s="306">
        <f t="shared" si="41"/>
        <v>0</v>
      </c>
      <c r="I211" s="305">
        <f>IFERROR(SUMIF(簡易陰圧装置!$C$30:$C$74,B211,簡易陰圧装置!$K$30:$K$74)*((簡易陰圧装置!$H$3-簡易陰圧装置!$I$3)/簡易陰圧装置!$H$3),0)</f>
        <v>0</v>
      </c>
      <c r="J211" s="306">
        <f t="shared" si="42"/>
        <v>0</v>
      </c>
      <c r="K211" s="305">
        <f>IFERROR(SUMIF(簡易ベッド!$C$30:$C$74,B211,簡易ベッド!$K$30:$K$74)*((簡易ベッド!$H$3-簡易ベッド!$I$3)/簡易ベッド!$H$3),0)</f>
        <v>0</v>
      </c>
      <c r="L211" s="306">
        <f t="shared" si="43"/>
        <v>0</v>
      </c>
      <c r="M211" s="305">
        <f>IFERROR(SUMIF(体外式膜型人工肺!$C$30:$C$74,B211,体外式膜型人工肺!$K$30:$K$74)*((体外式膜型人工肺!$H$3-体外式膜型人工肺!$I$3)/体外式膜型人工肺!$H$3),0)</f>
        <v>0</v>
      </c>
      <c r="N211" s="306">
        <f t="shared" si="44"/>
        <v>0</v>
      </c>
      <c r="O211" s="306">
        <f t="shared" si="45"/>
        <v>0</v>
      </c>
      <c r="P211" s="306">
        <f t="shared" si="46"/>
        <v>0</v>
      </c>
      <c r="Q211" s="305">
        <f>IFERROR(SUMIF(紫外線照射装置!$C$30:$C$74,B211,紫外線照射装置!$K$30:$K$74)*((紫外線照射装置!$H$3-紫外線照射装置!$I$3)/紫外線照射装置!$H$3),0)</f>
        <v>0</v>
      </c>
      <c r="R211" s="306">
        <f t="shared" si="47"/>
        <v>0</v>
      </c>
      <c r="S211" s="419">
        <f t="shared" si="48"/>
        <v>0</v>
      </c>
      <c r="T211" s="305">
        <f>IFERROR(SUMIF(超音波画像診断装置!$C$30:$C$74,B211,超音波画像診断装置!$K$30:$K$74)*((超音波画像診断装置!$H$3-超音波画像診断装置!$I$3)/超音波画像診断装置!$H$3),0)</f>
        <v>0</v>
      </c>
      <c r="U211" s="306">
        <f t="shared" si="49"/>
        <v>0</v>
      </c>
      <c r="V211" s="305">
        <f>IFERROR(SUMIF(血液浄化装置!$C$30:$C$74,B211,血液浄化装置!$K$30:$K$74)*((血液浄化装置!$H$3-血液浄化装置!$I$3)/血液浄化装置!$H$3),0)</f>
        <v>0</v>
      </c>
      <c r="W211" s="306">
        <f t="shared" si="50"/>
        <v>0</v>
      </c>
      <c r="X211" s="305">
        <f>IFERROR(SUMIF(気管支鏡!$C$30:$C$74,B211,気管支鏡!$K$30:$K$74)*((気管支鏡!$H$3-気管支鏡!$I$3)/気管支鏡!$H$3),0)</f>
        <v>0</v>
      </c>
      <c r="Y211" s="306">
        <f t="shared" si="36"/>
        <v>0</v>
      </c>
      <c r="Z211" s="305">
        <f>IFERROR(SUMIF(CT撮影装置!$C$30:$C$74,B211,CT撮影装置!$K$30:$K$74)*((CT撮影装置!$H$3-CT撮影装置!$I$3)/CT撮影装置!$H$3),0)</f>
        <v>0</v>
      </c>
      <c r="AA211" s="306">
        <f t="shared" si="51"/>
        <v>0</v>
      </c>
      <c r="AB211" s="305">
        <f>IFERROR(SUMIF(生体情報モニタ!$C$30:$C$74,B211,生体情報モニタ!$K$30:$K$74)*((生体情報モニタ!$H$3-生体情報モニタ!$I$3)/生体情報モニタ!$H$3),0)</f>
        <v>0</v>
      </c>
      <c r="AC211" s="306">
        <f t="shared" si="37"/>
        <v>0</v>
      </c>
      <c r="AD211" s="305">
        <f>IFERROR(SUMIF(分娩監視装置!$C$30:$C$74,B211,分娩監視装置!$K$30:$K$74)*((分娩監視装置!$H$3-分娩監視装置!$I$3)/分娩監視装置!$H$3),0)</f>
        <v>0</v>
      </c>
      <c r="AE211" s="306">
        <f t="shared" si="52"/>
        <v>0</v>
      </c>
      <c r="AF211" s="305">
        <f>IFERROR(SUMIF(新生児モニタ!$C$30:$C$74,B211,新生児モニタ!$K$30:$K$74)*((新生児モニタ!$H$3-新生児モニタ!$I$3)/新生児モニタ!$H$3),0)</f>
        <v>0</v>
      </c>
      <c r="AG211" s="306">
        <f t="shared" si="53"/>
        <v>0</v>
      </c>
    </row>
    <row r="212" spans="2:33">
      <c r="B212" s="283" t="s">
        <v>1025</v>
      </c>
      <c r="C212" s="305">
        <f>IFERROR(SUMIF(初度設備!$C$30:$C$74,B212,初度設備!$K$30:$K$74)*((初度設備!$H$3-初度設備!$I$3)/初度設備!$H$3),0)</f>
        <v>0</v>
      </c>
      <c r="D212" s="306">
        <f t="shared" si="38"/>
        <v>0</v>
      </c>
      <c r="E212" s="305">
        <f>IFERROR(SUMIF(人工呼吸器!$C$30:$C$74,B212,人工呼吸器!$K$30:$K$74)*((人工呼吸器!$H$3-人工呼吸器!$I$3)/人工呼吸器!$H$3),0)</f>
        <v>0</v>
      </c>
      <c r="F212" s="306">
        <f t="shared" si="39"/>
        <v>0</v>
      </c>
      <c r="G212" s="306">
        <f t="shared" si="40"/>
        <v>0</v>
      </c>
      <c r="H212" s="306">
        <f t="shared" si="41"/>
        <v>0</v>
      </c>
      <c r="I212" s="305">
        <f>IFERROR(SUMIF(簡易陰圧装置!$C$30:$C$74,B212,簡易陰圧装置!$K$30:$K$74)*((簡易陰圧装置!$H$3-簡易陰圧装置!$I$3)/簡易陰圧装置!$H$3),0)</f>
        <v>0</v>
      </c>
      <c r="J212" s="306">
        <f t="shared" si="42"/>
        <v>0</v>
      </c>
      <c r="K212" s="305">
        <f>IFERROR(SUMIF(簡易ベッド!$C$30:$C$74,B212,簡易ベッド!$K$30:$K$74)*((簡易ベッド!$H$3-簡易ベッド!$I$3)/簡易ベッド!$H$3),0)</f>
        <v>0</v>
      </c>
      <c r="L212" s="306">
        <f t="shared" si="43"/>
        <v>0</v>
      </c>
      <c r="M212" s="305">
        <f>IFERROR(SUMIF(体外式膜型人工肺!$C$30:$C$74,B212,体外式膜型人工肺!$K$30:$K$74)*((体外式膜型人工肺!$H$3-体外式膜型人工肺!$I$3)/体外式膜型人工肺!$H$3),0)</f>
        <v>0</v>
      </c>
      <c r="N212" s="306">
        <f t="shared" si="44"/>
        <v>0</v>
      </c>
      <c r="O212" s="306">
        <f t="shared" si="45"/>
        <v>0</v>
      </c>
      <c r="P212" s="306">
        <f t="shared" si="46"/>
        <v>0</v>
      </c>
      <c r="Q212" s="305">
        <f>IFERROR(SUMIF(紫外線照射装置!$C$30:$C$74,B212,紫外線照射装置!$K$30:$K$74)*((紫外線照射装置!$H$3-紫外線照射装置!$I$3)/紫外線照射装置!$H$3),0)</f>
        <v>0</v>
      </c>
      <c r="R212" s="306">
        <f t="shared" si="47"/>
        <v>0</v>
      </c>
      <c r="S212" s="419">
        <f t="shared" si="48"/>
        <v>0</v>
      </c>
      <c r="T212" s="305">
        <f>IFERROR(SUMIF(超音波画像診断装置!$C$30:$C$74,B212,超音波画像診断装置!$K$30:$K$74)*((超音波画像診断装置!$H$3-超音波画像診断装置!$I$3)/超音波画像診断装置!$H$3),0)</f>
        <v>0</v>
      </c>
      <c r="U212" s="306">
        <f t="shared" si="49"/>
        <v>0</v>
      </c>
      <c r="V212" s="305">
        <f>IFERROR(SUMIF(血液浄化装置!$C$30:$C$74,B212,血液浄化装置!$K$30:$K$74)*((血液浄化装置!$H$3-血液浄化装置!$I$3)/血液浄化装置!$H$3),0)</f>
        <v>0</v>
      </c>
      <c r="W212" s="306">
        <f t="shared" si="50"/>
        <v>0</v>
      </c>
      <c r="X212" s="305">
        <f>IFERROR(SUMIF(気管支鏡!$C$30:$C$74,B212,気管支鏡!$K$30:$K$74)*((気管支鏡!$H$3-気管支鏡!$I$3)/気管支鏡!$H$3),0)</f>
        <v>0</v>
      </c>
      <c r="Y212" s="306">
        <f t="shared" si="36"/>
        <v>0</v>
      </c>
      <c r="Z212" s="305">
        <f>IFERROR(SUMIF(CT撮影装置!$C$30:$C$74,B212,CT撮影装置!$K$30:$K$74)*((CT撮影装置!$H$3-CT撮影装置!$I$3)/CT撮影装置!$H$3),0)</f>
        <v>0</v>
      </c>
      <c r="AA212" s="306">
        <f t="shared" si="51"/>
        <v>0</v>
      </c>
      <c r="AB212" s="305">
        <f>IFERROR(SUMIF(生体情報モニタ!$C$30:$C$74,B212,生体情報モニタ!$K$30:$K$74)*((生体情報モニタ!$H$3-生体情報モニタ!$I$3)/生体情報モニタ!$H$3),0)</f>
        <v>0</v>
      </c>
      <c r="AC212" s="306">
        <f t="shared" si="37"/>
        <v>0</v>
      </c>
      <c r="AD212" s="305">
        <f>IFERROR(SUMIF(分娩監視装置!$C$30:$C$74,B212,分娩監視装置!$K$30:$K$74)*((分娩監視装置!$H$3-分娩監視装置!$I$3)/分娩監視装置!$H$3),0)</f>
        <v>0</v>
      </c>
      <c r="AE212" s="306">
        <f t="shared" si="52"/>
        <v>0</v>
      </c>
      <c r="AF212" s="305">
        <f>IFERROR(SUMIF(新生児モニタ!$C$30:$C$74,B212,新生児モニタ!$K$30:$K$74)*((新生児モニタ!$H$3-新生児モニタ!$I$3)/新生児モニタ!$H$3),0)</f>
        <v>0</v>
      </c>
      <c r="AG212" s="306">
        <f t="shared" si="53"/>
        <v>0</v>
      </c>
    </row>
    <row r="213" spans="2:33">
      <c r="B213" s="283" t="s">
        <v>1026</v>
      </c>
      <c r="C213" s="305">
        <f>IFERROR(SUMIF(初度設備!$C$30:$C$74,B213,初度設備!$K$30:$K$74)*((初度設備!$H$3-初度設備!$I$3)/初度設備!$H$3),0)</f>
        <v>0</v>
      </c>
      <c r="D213" s="306">
        <f t="shared" si="38"/>
        <v>0</v>
      </c>
      <c r="E213" s="305">
        <f>IFERROR(SUMIF(人工呼吸器!$C$30:$C$74,B213,人工呼吸器!$K$30:$K$74)*((人工呼吸器!$H$3-人工呼吸器!$I$3)/人工呼吸器!$H$3),0)</f>
        <v>0</v>
      </c>
      <c r="F213" s="306">
        <f t="shared" si="39"/>
        <v>0</v>
      </c>
      <c r="G213" s="306">
        <f t="shared" si="40"/>
        <v>0</v>
      </c>
      <c r="H213" s="306">
        <f t="shared" si="41"/>
        <v>0</v>
      </c>
      <c r="I213" s="305">
        <f>IFERROR(SUMIF(簡易陰圧装置!$C$30:$C$74,B213,簡易陰圧装置!$K$30:$K$74)*((簡易陰圧装置!$H$3-簡易陰圧装置!$I$3)/簡易陰圧装置!$H$3),0)</f>
        <v>0</v>
      </c>
      <c r="J213" s="306">
        <f t="shared" si="42"/>
        <v>0</v>
      </c>
      <c r="K213" s="305">
        <f>IFERROR(SUMIF(簡易ベッド!$C$30:$C$74,B213,簡易ベッド!$K$30:$K$74)*((簡易ベッド!$H$3-簡易ベッド!$I$3)/簡易ベッド!$H$3),0)</f>
        <v>0</v>
      </c>
      <c r="L213" s="306">
        <f t="shared" si="43"/>
        <v>0</v>
      </c>
      <c r="M213" s="305">
        <f>IFERROR(SUMIF(体外式膜型人工肺!$C$30:$C$74,B213,体外式膜型人工肺!$K$30:$K$74)*((体外式膜型人工肺!$H$3-体外式膜型人工肺!$I$3)/体外式膜型人工肺!$H$3),0)</f>
        <v>0</v>
      </c>
      <c r="N213" s="306">
        <f t="shared" si="44"/>
        <v>0</v>
      </c>
      <c r="O213" s="306">
        <f t="shared" si="45"/>
        <v>0</v>
      </c>
      <c r="P213" s="306">
        <f t="shared" si="46"/>
        <v>0</v>
      </c>
      <c r="Q213" s="305">
        <f>IFERROR(SUMIF(紫外線照射装置!$C$30:$C$74,B213,紫外線照射装置!$K$30:$K$74)*((紫外線照射装置!$H$3-紫外線照射装置!$I$3)/紫外線照射装置!$H$3),0)</f>
        <v>0</v>
      </c>
      <c r="R213" s="306">
        <f t="shared" si="47"/>
        <v>0</v>
      </c>
      <c r="S213" s="419">
        <f t="shared" si="48"/>
        <v>0</v>
      </c>
      <c r="T213" s="305">
        <f>IFERROR(SUMIF(超音波画像診断装置!$C$30:$C$74,B213,超音波画像診断装置!$K$30:$K$74)*((超音波画像診断装置!$H$3-超音波画像診断装置!$I$3)/超音波画像診断装置!$H$3),0)</f>
        <v>0</v>
      </c>
      <c r="U213" s="306">
        <f t="shared" si="49"/>
        <v>0</v>
      </c>
      <c r="V213" s="305">
        <f>IFERROR(SUMIF(血液浄化装置!$C$30:$C$74,B213,血液浄化装置!$K$30:$K$74)*((血液浄化装置!$H$3-血液浄化装置!$I$3)/血液浄化装置!$H$3),0)</f>
        <v>0</v>
      </c>
      <c r="W213" s="306">
        <f t="shared" si="50"/>
        <v>0</v>
      </c>
      <c r="X213" s="305">
        <f>IFERROR(SUMIF(気管支鏡!$C$30:$C$74,B213,気管支鏡!$K$30:$K$74)*((気管支鏡!$H$3-気管支鏡!$I$3)/気管支鏡!$H$3),0)</f>
        <v>0</v>
      </c>
      <c r="Y213" s="306">
        <f t="shared" si="36"/>
        <v>0</v>
      </c>
      <c r="Z213" s="305">
        <f>IFERROR(SUMIF(CT撮影装置!$C$30:$C$74,B213,CT撮影装置!$K$30:$K$74)*((CT撮影装置!$H$3-CT撮影装置!$I$3)/CT撮影装置!$H$3),0)</f>
        <v>0</v>
      </c>
      <c r="AA213" s="306">
        <f t="shared" si="51"/>
        <v>0</v>
      </c>
      <c r="AB213" s="305">
        <f>IFERROR(SUMIF(生体情報モニタ!$C$30:$C$74,B213,生体情報モニタ!$K$30:$K$74)*((生体情報モニタ!$H$3-生体情報モニタ!$I$3)/生体情報モニタ!$H$3),0)</f>
        <v>0</v>
      </c>
      <c r="AC213" s="306">
        <f t="shared" si="37"/>
        <v>0</v>
      </c>
      <c r="AD213" s="305">
        <f>IFERROR(SUMIF(分娩監視装置!$C$30:$C$74,B213,分娩監視装置!$K$30:$K$74)*((分娩監視装置!$H$3-分娩監視装置!$I$3)/分娩監視装置!$H$3),0)</f>
        <v>0</v>
      </c>
      <c r="AE213" s="306">
        <f t="shared" si="52"/>
        <v>0</v>
      </c>
      <c r="AF213" s="305">
        <f>IFERROR(SUMIF(新生児モニタ!$C$30:$C$74,B213,新生児モニタ!$K$30:$K$74)*((新生児モニタ!$H$3-新生児モニタ!$I$3)/新生児モニタ!$H$3),0)</f>
        <v>0</v>
      </c>
      <c r="AG213" s="306">
        <f t="shared" si="53"/>
        <v>0</v>
      </c>
    </row>
    <row r="214" spans="2:33">
      <c r="B214" s="283" t="s">
        <v>1027</v>
      </c>
      <c r="C214" s="305">
        <f>IFERROR(SUMIF(初度設備!$C$30:$C$74,B214,初度設備!$K$30:$K$74)*((初度設備!$H$3-初度設備!$I$3)/初度設備!$H$3),0)</f>
        <v>0</v>
      </c>
      <c r="D214" s="306">
        <f t="shared" si="38"/>
        <v>0</v>
      </c>
      <c r="E214" s="305">
        <f>IFERROR(SUMIF(人工呼吸器!$C$30:$C$74,B214,人工呼吸器!$K$30:$K$74)*((人工呼吸器!$H$3-人工呼吸器!$I$3)/人工呼吸器!$H$3),0)</f>
        <v>0</v>
      </c>
      <c r="F214" s="306">
        <f t="shared" si="39"/>
        <v>0</v>
      </c>
      <c r="G214" s="306">
        <f t="shared" si="40"/>
        <v>0</v>
      </c>
      <c r="H214" s="306">
        <f t="shared" si="41"/>
        <v>0</v>
      </c>
      <c r="I214" s="305">
        <f>IFERROR(SUMIF(簡易陰圧装置!$C$30:$C$74,B214,簡易陰圧装置!$K$30:$K$74)*((簡易陰圧装置!$H$3-簡易陰圧装置!$I$3)/簡易陰圧装置!$H$3),0)</f>
        <v>0</v>
      </c>
      <c r="J214" s="306">
        <f t="shared" si="42"/>
        <v>0</v>
      </c>
      <c r="K214" s="305">
        <f>IFERROR(SUMIF(簡易ベッド!$C$30:$C$74,B214,簡易ベッド!$K$30:$K$74)*((簡易ベッド!$H$3-簡易ベッド!$I$3)/簡易ベッド!$H$3),0)</f>
        <v>0</v>
      </c>
      <c r="L214" s="306">
        <f t="shared" si="43"/>
        <v>0</v>
      </c>
      <c r="M214" s="305">
        <f>IFERROR(SUMIF(体外式膜型人工肺!$C$30:$C$74,B214,体外式膜型人工肺!$K$30:$K$74)*((体外式膜型人工肺!$H$3-体外式膜型人工肺!$I$3)/体外式膜型人工肺!$H$3),0)</f>
        <v>0</v>
      </c>
      <c r="N214" s="306">
        <f t="shared" si="44"/>
        <v>0</v>
      </c>
      <c r="O214" s="306">
        <f t="shared" si="45"/>
        <v>0</v>
      </c>
      <c r="P214" s="306">
        <f t="shared" si="46"/>
        <v>0</v>
      </c>
      <c r="Q214" s="305">
        <f>IFERROR(SUMIF(紫外線照射装置!$C$30:$C$74,B214,紫外線照射装置!$K$30:$K$74)*((紫外線照射装置!$H$3-紫外線照射装置!$I$3)/紫外線照射装置!$H$3),0)</f>
        <v>0</v>
      </c>
      <c r="R214" s="306">
        <f t="shared" si="47"/>
        <v>0</v>
      </c>
      <c r="S214" s="419">
        <f t="shared" si="48"/>
        <v>0</v>
      </c>
      <c r="T214" s="305">
        <f>IFERROR(SUMIF(超音波画像診断装置!$C$30:$C$74,B214,超音波画像診断装置!$K$30:$K$74)*((超音波画像診断装置!$H$3-超音波画像診断装置!$I$3)/超音波画像診断装置!$H$3),0)</f>
        <v>0</v>
      </c>
      <c r="U214" s="306">
        <f t="shared" si="49"/>
        <v>0</v>
      </c>
      <c r="V214" s="305">
        <f>IFERROR(SUMIF(血液浄化装置!$C$30:$C$74,B214,血液浄化装置!$K$30:$K$74)*((血液浄化装置!$H$3-血液浄化装置!$I$3)/血液浄化装置!$H$3),0)</f>
        <v>0</v>
      </c>
      <c r="W214" s="306">
        <f t="shared" si="50"/>
        <v>0</v>
      </c>
      <c r="X214" s="305">
        <f>IFERROR(SUMIF(気管支鏡!$C$30:$C$74,B214,気管支鏡!$K$30:$K$74)*((気管支鏡!$H$3-気管支鏡!$I$3)/気管支鏡!$H$3),0)</f>
        <v>0</v>
      </c>
      <c r="Y214" s="306">
        <f t="shared" si="36"/>
        <v>0</v>
      </c>
      <c r="Z214" s="305">
        <f>IFERROR(SUMIF(CT撮影装置!$C$30:$C$74,B214,CT撮影装置!$K$30:$K$74)*((CT撮影装置!$H$3-CT撮影装置!$I$3)/CT撮影装置!$H$3),0)</f>
        <v>0</v>
      </c>
      <c r="AA214" s="306">
        <f t="shared" si="51"/>
        <v>0</v>
      </c>
      <c r="AB214" s="305">
        <f>IFERROR(SUMIF(生体情報モニタ!$C$30:$C$74,B214,生体情報モニタ!$K$30:$K$74)*((生体情報モニタ!$H$3-生体情報モニタ!$I$3)/生体情報モニタ!$H$3),0)</f>
        <v>0</v>
      </c>
      <c r="AC214" s="306">
        <f t="shared" si="37"/>
        <v>0</v>
      </c>
      <c r="AD214" s="305">
        <f>IFERROR(SUMIF(分娩監視装置!$C$30:$C$74,B214,分娩監視装置!$K$30:$K$74)*((分娩監視装置!$H$3-分娩監視装置!$I$3)/分娩監視装置!$H$3),0)</f>
        <v>0</v>
      </c>
      <c r="AE214" s="306">
        <f t="shared" si="52"/>
        <v>0</v>
      </c>
      <c r="AF214" s="305">
        <f>IFERROR(SUMIF(新生児モニタ!$C$30:$C$74,B214,新生児モニタ!$K$30:$K$74)*((新生児モニタ!$H$3-新生児モニタ!$I$3)/新生児モニタ!$H$3),0)</f>
        <v>0</v>
      </c>
      <c r="AG214" s="306">
        <f t="shared" si="53"/>
        <v>0</v>
      </c>
    </row>
    <row r="215" spans="2:33">
      <c r="B215" s="283" t="s">
        <v>1028</v>
      </c>
      <c r="C215" s="305">
        <f>IFERROR(SUMIF(初度設備!$C$30:$C$74,B215,初度設備!$K$30:$K$74)*((初度設備!$H$3-初度設備!$I$3)/初度設備!$H$3),0)</f>
        <v>0</v>
      </c>
      <c r="D215" s="306">
        <f t="shared" si="38"/>
        <v>0</v>
      </c>
      <c r="E215" s="305">
        <f>IFERROR(SUMIF(人工呼吸器!$C$30:$C$74,B215,人工呼吸器!$K$30:$K$74)*((人工呼吸器!$H$3-人工呼吸器!$I$3)/人工呼吸器!$H$3),0)</f>
        <v>0</v>
      </c>
      <c r="F215" s="306">
        <f t="shared" si="39"/>
        <v>0</v>
      </c>
      <c r="G215" s="306">
        <f t="shared" si="40"/>
        <v>0</v>
      </c>
      <c r="H215" s="306">
        <f t="shared" si="41"/>
        <v>0</v>
      </c>
      <c r="I215" s="305">
        <f>IFERROR(SUMIF(簡易陰圧装置!$C$30:$C$74,B215,簡易陰圧装置!$K$30:$K$74)*((簡易陰圧装置!$H$3-簡易陰圧装置!$I$3)/簡易陰圧装置!$H$3),0)</f>
        <v>0</v>
      </c>
      <c r="J215" s="306">
        <f t="shared" si="42"/>
        <v>0</v>
      </c>
      <c r="K215" s="305">
        <f>IFERROR(SUMIF(簡易ベッド!$C$30:$C$74,B215,簡易ベッド!$K$30:$K$74)*((簡易ベッド!$H$3-簡易ベッド!$I$3)/簡易ベッド!$H$3),0)</f>
        <v>0</v>
      </c>
      <c r="L215" s="306">
        <f t="shared" si="43"/>
        <v>0</v>
      </c>
      <c r="M215" s="305">
        <f>IFERROR(SUMIF(体外式膜型人工肺!$C$30:$C$74,B215,体外式膜型人工肺!$K$30:$K$74)*((体外式膜型人工肺!$H$3-体外式膜型人工肺!$I$3)/体外式膜型人工肺!$H$3),0)</f>
        <v>0</v>
      </c>
      <c r="N215" s="306">
        <f t="shared" si="44"/>
        <v>0</v>
      </c>
      <c r="O215" s="306">
        <f t="shared" si="45"/>
        <v>0</v>
      </c>
      <c r="P215" s="306">
        <f t="shared" si="46"/>
        <v>0</v>
      </c>
      <c r="Q215" s="305">
        <f>IFERROR(SUMIF(紫外線照射装置!$C$30:$C$74,B215,紫外線照射装置!$K$30:$K$74)*((紫外線照射装置!$H$3-紫外線照射装置!$I$3)/紫外線照射装置!$H$3),0)</f>
        <v>0</v>
      </c>
      <c r="R215" s="306">
        <f t="shared" si="47"/>
        <v>0</v>
      </c>
      <c r="S215" s="419">
        <f t="shared" si="48"/>
        <v>0</v>
      </c>
      <c r="T215" s="305">
        <f>IFERROR(SUMIF(超音波画像診断装置!$C$30:$C$74,B215,超音波画像診断装置!$K$30:$K$74)*((超音波画像診断装置!$H$3-超音波画像診断装置!$I$3)/超音波画像診断装置!$H$3),0)</f>
        <v>0</v>
      </c>
      <c r="U215" s="306">
        <f t="shared" si="49"/>
        <v>0</v>
      </c>
      <c r="V215" s="305">
        <f>IFERROR(SUMIF(血液浄化装置!$C$30:$C$74,B215,血液浄化装置!$K$30:$K$74)*((血液浄化装置!$H$3-血液浄化装置!$I$3)/血液浄化装置!$H$3),0)</f>
        <v>0</v>
      </c>
      <c r="W215" s="306">
        <f t="shared" si="50"/>
        <v>0</v>
      </c>
      <c r="X215" s="305">
        <f>IFERROR(SUMIF(気管支鏡!$C$30:$C$74,B215,気管支鏡!$K$30:$K$74)*((気管支鏡!$H$3-気管支鏡!$I$3)/気管支鏡!$H$3),0)</f>
        <v>0</v>
      </c>
      <c r="Y215" s="306">
        <f t="shared" ref="Y215:Y278" si="54">ROUNDDOWN(MIN(X215,$Y$21),-3)</f>
        <v>0</v>
      </c>
      <c r="Z215" s="305">
        <f>IFERROR(SUMIF(CT撮影装置!$C$30:$C$74,B215,CT撮影装置!$K$30:$K$74)*((CT撮影装置!$H$3-CT撮影装置!$I$3)/CT撮影装置!$H$3),0)</f>
        <v>0</v>
      </c>
      <c r="AA215" s="306">
        <f t="shared" si="51"/>
        <v>0</v>
      </c>
      <c r="AB215" s="305">
        <f>IFERROR(SUMIF(生体情報モニタ!$C$30:$C$74,B215,生体情報モニタ!$K$30:$K$74)*((生体情報モニタ!$H$3-生体情報モニタ!$I$3)/生体情報モニタ!$H$3),0)</f>
        <v>0</v>
      </c>
      <c r="AC215" s="306">
        <f t="shared" ref="AC215:AC278" si="55">ROUNDDOWN(MIN(AB215,$AC$21),-3)</f>
        <v>0</v>
      </c>
      <c r="AD215" s="305">
        <f>IFERROR(SUMIF(分娩監視装置!$C$30:$C$74,B215,分娩監視装置!$K$30:$K$74)*((分娩監視装置!$H$3-分娩監視装置!$I$3)/分娩監視装置!$H$3),0)</f>
        <v>0</v>
      </c>
      <c r="AE215" s="306">
        <f t="shared" si="52"/>
        <v>0</v>
      </c>
      <c r="AF215" s="305">
        <f>IFERROR(SUMIF(新生児モニタ!$C$30:$C$74,B215,新生児モニタ!$K$30:$K$74)*((新生児モニタ!$H$3-新生児モニタ!$I$3)/新生児モニタ!$H$3),0)</f>
        <v>0</v>
      </c>
      <c r="AG215" s="306">
        <f t="shared" si="53"/>
        <v>0</v>
      </c>
    </row>
    <row r="216" spans="2:33">
      <c r="B216" s="283" t="s">
        <v>1029</v>
      </c>
      <c r="C216" s="305">
        <f>IFERROR(SUMIF(初度設備!$C$30:$C$74,B216,初度設備!$K$30:$K$74)*((初度設備!$H$3-初度設備!$I$3)/初度設備!$H$3),0)</f>
        <v>0</v>
      </c>
      <c r="D216" s="306">
        <f t="shared" ref="D216:D279" si="56">ROUNDDOWN(MIN(C216,$D$21),-3)</f>
        <v>0</v>
      </c>
      <c r="E216" s="305">
        <f>IFERROR(SUMIF(人工呼吸器!$C$30:$C$74,B216,人工呼吸器!$K$30:$K$74)*((人工呼吸器!$H$3-人工呼吸器!$I$3)/人工呼吸器!$H$3),0)</f>
        <v>0</v>
      </c>
      <c r="F216" s="306">
        <f t="shared" ref="F216:F279" si="57">ROUNDDOWN(E216,-3)</f>
        <v>0</v>
      </c>
      <c r="G216" s="306">
        <f t="shared" ref="G216:G279" si="58">IF(F216&gt;=5000000,5000000,F216)</f>
        <v>0</v>
      </c>
      <c r="H216" s="306">
        <f t="shared" ref="H216:H279" si="59">IF(G216=5000000,F216-5000000,0)</f>
        <v>0</v>
      </c>
      <c r="I216" s="305">
        <f>IFERROR(SUMIF(簡易陰圧装置!$C$30:$C$74,B216,簡易陰圧装置!$K$30:$K$74)*((簡易陰圧装置!$H$3-簡易陰圧装置!$I$3)/簡易陰圧装置!$H$3),0)</f>
        <v>0</v>
      </c>
      <c r="J216" s="306">
        <f t="shared" ref="J216:J279" si="60">ROUNDDOWN(MIN(I216,$J$21),-3)</f>
        <v>0</v>
      </c>
      <c r="K216" s="305">
        <f>IFERROR(SUMIF(簡易ベッド!$C$30:$C$74,B216,簡易ベッド!$K$30:$K$74)*((簡易ベッド!$H$3-簡易ベッド!$I$3)/簡易ベッド!$H$3),0)</f>
        <v>0</v>
      </c>
      <c r="L216" s="306">
        <f t="shared" ref="L216:L279" si="61">ROUNDDOWN(MIN(K216,$L$21),-3)</f>
        <v>0</v>
      </c>
      <c r="M216" s="305">
        <f>IFERROR(SUMIF(体外式膜型人工肺!$C$30:$C$74,B216,体外式膜型人工肺!$K$30:$K$74)*((体外式膜型人工肺!$H$3-体外式膜型人工肺!$I$3)/体外式膜型人工肺!$H$3),0)</f>
        <v>0</v>
      </c>
      <c r="N216" s="306">
        <f t="shared" ref="N216:N279" si="62">ROUNDDOWN(M216,-3)</f>
        <v>0</v>
      </c>
      <c r="O216" s="306">
        <f t="shared" ref="O216:O279" si="63">IF(N216&gt;=21000000,21000000,N216)</f>
        <v>0</v>
      </c>
      <c r="P216" s="306">
        <f t="shared" ref="P216:P279" si="64">IF(O216=21000000,N216-21000000,0)</f>
        <v>0</v>
      </c>
      <c r="Q216" s="305">
        <f>IFERROR(SUMIF(紫外線照射装置!$C$30:$C$74,B216,紫外線照射装置!$K$30:$K$74)*((紫外線照射装置!$H$3-紫外線照射装置!$I$3)/紫外線照射装置!$H$3),0)</f>
        <v>0</v>
      </c>
      <c r="R216" s="306">
        <f t="shared" ref="R216:R279" si="65">IFERROR(ROUNDDOWN(MIN(Q216,$R$21)/2,-3),0)</f>
        <v>0</v>
      </c>
      <c r="S216" s="419">
        <f t="shared" ref="S216:S279" si="66">R216</f>
        <v>0</v>
      </c>
      <c r="T216" s="305">
        <f>IFERROR(SUMIF(超音波画像診断装置!$C$30:$C$74,B216,超音波画像診断装置!$K$30:$K$74)*((超音波画像診断装置!$H$3-超音波画像診断装置!$I$3)/超音波画像診断装置!$H$3),0)</f>
        <v>0</v>
      </c>
      <c r="U216" s="306">
        <f t="shared" ref="U216:U279" si="67">ROUNDDOWN(MIN(T216,$U$21),-3)</f>
        <v>0</v>
      </c>
      <c r="V216" s="305">
        <f>IFERROR(SUMIF(血液浄化装置!$C$30:$C$74,B216,血液浄化装置!$K$30:$K$74)*((血液浄化装置!$H$3-血液浄化装置!$I$3)/血液浄化装置!$H$3),0)</f>
        <v>0</v>
      </c>
      <c r="W216" s="306">
        <f t="shared" ref="W216:W279" si="68">ROUNDDOWN(MIN(V216,$W$21),-3)</f>
        <v>0</v>
      </c>
      <c r="X216" s="305">
        <f>IFERROR(SUMIF(気管支鏡!$C$30:$C$74,B216,気管支鏡!$K$30:$K$74)*((気管支鏡!$H$3-気管支鏡!$I$3)/気管支鏡!$H$3),0)</f>
        <v>0</v>
      </c>
      <c r="Y216" s="306">
        <f t="shared" si="54"/>
        <v>0</v>
      </c>
      <c r="Z216" s="305">
        <f>IFERROR(SUMIF(CT撮影装置!$C$30:$C$74,B216,CT撮影装置!$K$30:$K$74)*((CT撮影装置!$H$3-CT撮影装置!$I$3)/CT撮影装置!$H$3),0)</f>
        <v>0</v>
      </c>
      <c r="AA216" s="306">
        <f t="shared" ref="AA216:AA279" si="69">ROUNDDOWN(MIN(Z216,$AA$21),-3)</f>
        <v>0</v>
      </c>
      <c r="AB216" s="305">
        <f>IFERROR(SUMIF(生体情報モニタ!$C$30:$C$74,B216,生体情報モニタ!$K$30:$K$74)*((生体情報モニタ!$H$3-生体情報モニタ!$I$3)/生体情報モニタ!$H$3),0)</f>
        <v>0</v>
      </c>
      <c r="AC216" s="306">
        <f t="shared" si="55"/>
        <v>0</v>
      </c>
      <c r="AD216" s="305">
        <f>IFERROR(SUMIF(分娩監視装置!$C$30:$C$74,B216,分娩監視装置!$K$30:$K$74)*((分娩監視装置!$H$3-分娩監視装置!$I$3)/分娩監視装置!$H$3),0)</f>
        <v>0</v>
      </c>
      <c r="AE216" s="306">
        <f t="shared" ref="AE216:AE279" si="70">ROUNDDOWN(MIN(AD216,$AE$21),-3)</f>
        <v>0</v>
      </c>
      <c r="AF216" s="305">
        <f>IFERROR(SUMIF(新生児モニタ!$C$30:$C$74,B216,新生児モニタ!$K$30:$K$74)*((新生児モニタ!$H$3-新生児モニタ!$I$3)/新生児モニタ!$H$3),0)</f>
        <v>0</v>
      </c>
      <c r="AG216" s="306">
        <f t="shared" ref="AG216:AG279" si="71">ROUNDDOWN(MIN(AF216,$AG$21),-3)</f>
        <v>0</v>
      </c>
    </row>
    <row r="217" spans="2:33">
      <c r="B217" s="283" t="s">
        <v>1030</v>
      </c>
      <c r="C217" s="305">
        <f>IFERROR(SUMIF(初度設備!$C$30:$C$74,B217,初度設備!$K$30:$K$74)*((初度設備!$H$3-初度設備!$I$3)/初度設備!$H$3),0)</f>
        <v>0</v>
      </c>
      <c r="D217" s="306">
        <f t="shared" si="56"/>
        <v>0</v>
      </c>
      <c r="E217" s="305">
        <f>IFERROR(SUMIF(人工呼吸器!$C$30:$C$74,B217,人工呼吸器!$K$30:$K$74)*((人工呼吸器!$H$3-人工呼吸器!$I$3)/人工呼吸器!$H$3),0)</f>
        <v>0</v>
      </c>
      <c r="F217" s="306">
        <f t="shared" si="57"/>
        <v>0</v>
      </c>
      <c r="G217" s="306">
        <f t="shared" si="58"/>
        <v>0</v>
      </c>
      <c r="H217" s="306">
        <f t="shared" si="59"/>
        <v>0</v>
      </c>
      <c r="I217" s="305">
        <f>IFERROR(SUMIF(簡易陰圧装置!$C$30:$C$74,B217,簡易陰圧装置!$K$30:$K$74)*((簡易陰圧装置!$H$3-簡易陰圧装置!$I$3)/簡易陰圧装置!$H$3),0)</f>
        <v>0</v>
      </c>
      <c r="J217" s="306">
        <f t="shared" si="60"/>
        <v>0</v>
      </c>
      <c r="K217" s="305">
        <f>IFERROR(SUMIF(簡易ベッド!$C$30:$C$74,B217,簡易ベッド!$K$30:$K$74)*((簡易ベッド!$H$3-簡易ベッド!$I$3)/簡易ベッド!$H$3),0)</f>
        <v>0</v>
      </c>
      <c r="L217" s="306">
        <f t="shared" si="61"/>
        <v>0</v>
      </c>
      <c r="M217" s="305">
        <f>IFERROR(SUMIF(体外式膜型人工肺!$C$30:$C$74,B217,体外式膜型人工肺!$K$30:$K$74)*((体外式膜型人工肺!$H$3-体外式膜型人工肺!$I$3)/体外式膜型人工肺!$H$3),0)</f>
        <v>0</v>
      </c>
      <c r="N217" s="306">
        <f t="shared" si="62"/>
        <v>0</v>
      </c>
      <c r="O217" s="306">
        <f t="shared" si="63"/>
        <v>0</v>
      </c>
      <c r="P217" s="306">
        <f t="shared" si="64"/>
        <v>0</v>
      </c>
      <c r="Q217" s="305">
        <f>IFERROR(SUMIF(紫外線照射装置!$C$30:$C$74,B217,紫外線照射装置!$K$30:$K$74)*((紫外線照射装置!$H$3-紫外線照射装置!$I$3)/紫外線照射装置!$H$3),0)</f>
        <v>0</v>
      </c>
      <c r="R217" s="306">
        <f t="shared" si="65"/>
        <v>0</v>
      </c>
      <c r="S217" s="419">
        <f t="shared" si="66"/>
        <v>0</v>
      </c>
      <c r="T217" s="305">
        <f>IFERROR(SUMIF(超音波画像診断装置!$C$30:$C$74,B217,超音波画像診断装置!$K$30:$K$74)*((超音波画像診断装置!$H$3-超音波画像診断装置!$I$3)/超音波画像診断装置!$H$3),0)</f>
        <v>0</v>
      </c>
      <c r="U217" s="306">
        <f t="shared" si="67"/>
        <v>0</v>
      </c>
      <c r="V217" s="305">
        <f>IFERROR(SUMIF(血液浄化装置!$C$30:$C$74,B217,血液浄化装置!$K$30:$K$74)*((血液浄化装置!$H$3-血液浄化装置!$I$3)/血液浄化装置!$H$3),0)</f>
        <v>0</v>
      </c>
      <c r="W217" s="306">
        <f t="shared" si="68"/>
        <v>0</v>
      </c>
      <c r="X217" s="305">
        <f>IFERROR(SUMIF(気管支鏡!$C$30:$C$74,B217,気管支鏡!$K$30:$K$74)*((気管支鏡!$H$3-気管支鏡!$I$3)/気管支鏡!$H$3),0)</f>
        <v>0</v>
      </c>
      <c r="Y217" s="306">
        <f t="shared" si="54"/>
        <v>0</v>
      </c>
      <c r="Z217" s="305">
        <f>IFERROR(SUMIF(CT撮影装置!$C$30:$C$74,B217,CT撮影装置!$K$30:$K$74)*((CT撮影装置!$H$3-CT撮影装置!$I$3)/CT撮影装置!$H$3),0)</f>
        <v>0</v>
      </c>
      <c r="AA217" s="306">
        <f t="shared" si="69"/>
        <v>0</v>
      </c>
      <c r="AB217" s="305">
        <f>IFERROR(SUMIF(生体情報モニタ!$C$30:$C$74,B217,生体情報モニタ!$K$30:$K$74)*((生体情報モニタ!$H$3-生体情報モニタ!$I$3)/生体情報モニタ!$H$3),0)</f>
        <v>0</v>
      </c>
      <c r="AC217" s="306">
        <f t="shared" si="55"/>
        <v>0</v>
      </c>
      <c r="AD217" s="305">
        <f>IFERROR(SUMIF(分娩監視装置!$C$30:$C$74,B217,分娩監視装置!$K$30:$K$74)*((分娩監視装置!$H$3-分娩監視装置!$I$3)/分娩監視装置!$H$3),0)</f>
        <v>0</v>
      </c>
      <c r="AE217" s="306">
        <f t="shared" si="70"/>
        <v>0</v>
      </c>
      <c r="AF217" s="305">
        <f>IFERROR(SUMIF(新生児モニタ!$C$30:$C$74,B217,新生児モニタ!$K$30:$K$74)*((新生児モニタ!$H$3-新生児モニタ!$I$3)/新生児モニタ!$H$3),0)</f>
        <v>0</v>
      </c>
      <c r="AG217" s="306">
        <f t="shared" si="71"/>
        <v>0</v>
      </c>
    </row>
    <row r="218" spans="2:33">
      <c r="B218" s="283" t="s">
        <v>1031</v>
      </c>
      <c r="C218" s="305">
        <f>IFERROR(SUMIF(初度設備!$C$30:$C$74,B218,初度設備!$K$30:$K$74)*((初度設備!$H$3-初度設備!$I$3)/初度設備!$H$3),0)</f>
        <v>0</v>
      </c>
      <c r="D218" s="306">
        <f t="shared" si="56"/>
        <v>0</v>
      </c>
      <c r="E218" s="305">
        <f>IFERROR(SUMIF(人工呼吸器!$C$30:$C$74,B218,人工呼吸器!$K$30:$K$74)*((人工呼吸器!$H$3-人工呼吸器!$I$3)/人工呼吸器!$H$3),0)</f>
        <v>0</v>
      </c>
      <c r="F218" s="306">
        <f t="shared" si="57"/>
        <v>0</v>
      </c>
      <c r="G218" s="306">
        <f t="shared" si="58"/>
        <v>0</v>
      </c>
      <c r="H218" s="306">
        <f t="shared" si="59"/>
        <v>0</v>
      </c>
      <c r="I218" s="305">
        <f>IFERROR(SUMIF(簡易陰圧装置!$C$30:$C$74,B218,簡易陰圧装置!$K$30:$K$74)*((簡易陰圧装置!$H$3-簡易陰圧装置!$I$3)/簡易陰圧装置!$H$3),0)</f>
        <v>0</v>
      </c>
      <c r="J218" s="306">
        <f t="shared" si="60"/>
        <v>0</v>
      </c>
      <c r="K218" s="305">
        <f>IFERROR(SUMIF(簡易ベッド!$C$30:$C$74,B218,簡易ベッド!$K$30:$K$74)*((簡易ベッド!$H$3-簡易ベッド!$I$3)/簡易ベッド!$H$3),0)</f>
        <v>0</v>
      </c>
      <c r="L218" s="306">
        <f t="shared" si="61"/>
        <v>0</v>
      </c>
      <c r="M218" s="305">
        <f>IFERROR(SUMIF(体外式膜型人工肺!$C$30:$C$74,B218,体外式膜型人工肺!$K$30:$K$74)*((体外式膜型人工肺!$H$3-体外式膜型人工肺!$I$3)/体外式膜型人工肺!$H$3),0)</f>
        <v>0</v>
      </c>
      <c r="N218" s="306">
        <f t="shared" si="62"/>
        <v>0</v>
      </c>
      <c r="O218" s="306">
        <f t="shared" si="63"/>
        <v>0</v>
      </c>
      <c r="P218" s="306">
        <f t="shared" si="64"/>
        <v>0</v>
      </c>
      <c r="Q218" s="305">
        <f>IFERROR(SUMIF(紫外線照射装置!$C$30:$C$74,B218,紫外線照射装置!$K$30:$K$74)*((紫外線照射装置!$H$3-紫外線照射装置!$I$3)/紫外線照射装置!$H$3),0)</f>
        <v>0</v>
      </c>
      <c r="R218" s="306">
        <f t="shared" si="65"/>
        <v>0</v>
      </c>
      <c r="S218" s="419">
        <f t="shared" si="66"/>
        <v>0</v>
      </c>
      <c r="T218" s="305">
        <f>IFERROR(SUMIF(超音波画像診断装置!$C$30:$C$74,B218,超音波画像診断装置!$K$30:$K$74)*((超音波画像診断装置!$H$3-超音波画像診断装置!$I$3)/超音波画像診断装置!$H$3),0)</f>
        <v>0</v>
      </c>
      <c r="U218" s="306">
        <f t="shared" si="67"/>
        <v>0</v>
      </c>
      <c r="V218" s="305">
        <f>IFERROR(SUMIF(血液浄化装置!$C$30:$C$74,B218,血液浄化装置!$K$30:$K$74)*((血液浄化装置!$H$3-血液浄化装置!$I$3)/血液浄化装置!$H$3),0)</f>
        <v>0</v>
      </c>
      <c r="W218" s="306">
        <f t="shared" si="68"/>
        <v>0</v>
      </c>
      <c r="X218" s="305">
        <f>IFERROR(SUMIF(気管支鏡!$C$30:$C$74,B218,気管支鏡!$K$30:$K$74)*((気管支鏡!$H$3-気管支鏡!$I$3)/気管支鏡!$H$3),0)</f>
        <v>0</v>
      </c>
      <c r="Y218" s="306">
        <f t="shared" si="54"/>
        <v>0</v>
      </c>
      <c r="Z218" s="305">
        <f>IFERROR(SUMIF(CT撮影装置!$C$30:$C$74,B218,CT撮影装置!$K$30:$K$74)*((CT撮影装置!$H$3-CT撮影装置!$I$3)/CT撮影装置!$H$3),0)</f>
        <v>0</v>
      </c>
      <c r="AA218" s="306">
        <f t="shared" si="69"/>
        <v>0</v>
      </c>
      <c r="AB218" s="305">
        <f>IFERROR(SUMIF(生体情報モニタ!$C$30:$C$74,B218,生体情報モニタ!$K$30:$K$74)*((生体情報モニタ!$H$3-生体情報モニタ!$I$3)/生体情報モニタ!$H$3),0)</f>
        <v>0</v>
      </c>
      <c r="AC218" s="306">
        <f t="shared" si="55"/>
        <v>0</v>
      </c>
      <c r="AD218" s="305">
        <f>IFERROR(SUMIF(分娩監視装置!$C$30:$C$74,B218,分娩監視装置!$K$30:$K$74)*((分娩監視装置!$H$3-分娩監視装置!$I$3)/分娩監視装置!$H$3),0)</f>
        <v>0</v>
      </c>
      <c r="AE218" s="306">
        <f t="shared" si="70"/>
        <v>0</v>
      </c>
      <c r="AF218" s="305">
        <f>IFERROR(SUMIF(新生児モニタ!$C$30:$C$74,B218,新生児モニタ!$K$30:$K$74)*((新生児モニタ!$H$3-新生児モニタ!$I$3)/新生児モニタ!$H$3),0)</f>
        <v>0</v>
      </c>
      <c r="AG218" s="306">
        <f t="shared" si="71"/>
        <v>0</v>
      </c>
    </row>
    <row r="219" spans="2:33">
      <c r="B219" s="283" t="s">
        <v>1032</v>
      </c>
      <c r="C219" s="305">
        <f>IFERROR(SUMIF(初度設備!$C$30:$C$74,B219,初度設備!$K$30:$K$74)*((初度設備!$H$3-初度設備!$I$3)/初度設備!$H$3),0)</f>
        <v>0</v>
      </c>
      <c r="D219" s="306">
        <f t="shared" si="56"/>
        <v>0</v>
      </c>
      <c r="E219" s="305">
        <f>IFERROR(SUMIF(人工呼吸器!$C$30:$C$74,B219,人工呼吸器!$K$30:$K$74)*((人工呼吸器!$H$3-人工呼吸器!$I$3)/人工呼吸器!$H$3),0)</f>
        <v>0</v>
      </c>
      <c r="F219" s="306">
        <f t="shared" si="57"/>
        <v>0</v>
      </c>
      <c r="G219" s="306">
        <f t="shared" si="58"/>
        <v>0</v>
      </c>
      <c r="H219" s="306">
        <f t="shared" si="59"/>
        <v>0</v>
      </c>
      <c r="I219" s="305">
        <f>IFERROR(SUMIF(簡易陰圧装置!$C$30:$C$74,B219,簡易陰圧装置!$K$30:$K$74)*((簡易陰圧装置!$H$3-簡易陰圧装置!$I$3)/簡易陰圧装置!$H$3),0)</f>
        <v>0</v>
      </c>
      <c r="J219" s="306">
        <f t="shared" si="60"/>
        <v>0</v>
      </c>
      <c r="K219" s="305">
        <f>IFERROR(SUMIF(簡易ベッド!$C$30:$C$74,B219,簡易ベッド!$K$30:$K$74)*((簡易ベッド!$H$3-簡易ベッド!$I$3)/簡易ベッド!$H$3),0)</f>
        <v>0</v>
      </c>
      <c r="L219" s="306">
        <f t="shared" si="61"/>
        <v>0</v>
      </c>
      <c r="M219" s="305">
        <f>IFERROR(SUMIF(体外式膜型人工肺!$C$30:$C$74,B219,体外式膜型人工肺!$K$30:$K$74)*((体外式膜型人工肺!$H$3-体外式膜型人工肺!$I$3)/体外式膜型人工肺!$H$3),0)</f>
        <v>0</v>
      </c>
      <c r="N219" s="306">
        <f t="shared" si="62"/>
        <v>0</v>
      </c>
      <c r="O219" s="306">
        <f t="shared" si="63"/>
        <v>0</v>
      </c>
      <c r="P219" s="306">
        <f t="shared" si="64"/>
        <v>0</v>
      </c>
      <c r="Q219" s="305">
        <f>IFERROR(SUMIF(紫外線照射装置!$C$30:$C$74,B219,紫外線照射装置!$K$30:$K$74)*((紫外線照射装置!$H$3-紫外線照射装置!$I$3)/紫外線照射装置!$H$3),0)</f>
        <v>0</v>
      </c>
      <c r="R219" s="306">
        <f t="shared" si="65"/>
        <v>0</v>
      </c>
      <c r="S219" s="419">
        <f t="shared" si="66"/>
        <v>0</v>
      </c>
      <c r="T219" s="305">
        <f>IFERROR(SUMIF(超音波画像診断装置!$C$30:$C$74,B219,超音波画像診断装置!$K$30:$K$74)*((超音波画像診断装置!$H$3-超音波画像診断装置!$I$3)/超音波画像診断装置!$H$3),0)</f>
        <v>0</v>
      </c>
      <c r="U219" s="306">
        <f t="shared" si="67"/>
        <v>0</v>
      </c>
      <c r="V219" s="305">
        <f>IFERROR(SUMIF(血液浄化装置!$C$30:$C$74,B219,血液浄化装置!$K$30:$K$74)*((血液浄化装置!$H$3-血液浄化装置!$I$3)/血液浄化装置!$H$3),0)</f>
        <v>0</v>
      </c>
      <c r="W219" s="306">
        <f t="shared" si="68"/>
        <v>0</v>
      </c>
      <c r="X219" s="305">
        <f>IFERROR(SUMIF(気管支鏡!$C$30:$C$74,B219,気管支鏡!$K$30:$K$74)*((気管支鏡!$H$3-気管支鏡!$I$3)/気管支鏡!$H$3),0)</f>
        <v>0</v>
      </c>
      <c r="Y219" s="306">
        <f t="shared" si="54"/>
        <v>0</v>
      </c>
      <c r="Z219" s="305">
        <f>IFERROR(SUMIF(CT撮影装置!$C$30:$C$74,B219,CT撮影装置!$K$30:$K$74)*((CT撮影装置!$H$3-CT撮影装置!$I$3)/CT撮影装置!$H$3),0)</f>
        <v>0</v>
      </c>
      <c r="AA219" s="306">
        <f t="shared" si="69"/>
        <v>0</v>
      </c>
      <c r="AB219" s="305">
        <f>IFERROR(SUMIF(生体情報モニタ!$C$30:$C$74,B219,生体情報モニタ!$K$30:$K$74)*((生体情報モニタ!$H$3-生体情報モニタ!$I$3)/生体情報モニタ!$H$3),0)</f>
        <v>0</v>
      </c>
      <c r="AC219" s="306">
        <f t="shared" si="55"/>
        <v>0</v>
      </c>
      <c r="AD219" s="305">
        <f>IFERROR(SUMIF(分娩監視装置!$C$30:$C$74,B219,分娩監視装置!$K$30:$K$74)*((分娩監視装置!$H$3-分娩監視装置!$I$3)/分娩監視装置!$H$3),0)</f>
        <v>0</v>
      </c>
      <c r="AE219" s="306">
        <f t="shared" si="70"/>
        <v>0</v>
      </c>
      <c r="AF219" s="305">
        <f>IFERROR(SUMIF(新生児モニタ!$C$30:$C$74,B219,新生児モニタ!$K$30:$K$74)*((新生児モニタ!$H$3-新生児モニタ!$I$3)/新生児モニタ!$H$3),0)</f>
        <v>0</v>
      </c>
      <c r="AG219" s="306">
        <f t="shared" si="71"/>
        <v>0</v>
      </c>
    </row>
    <row r="220" spans="2:33">
      <c r="B220" s="283" t="s">
        <v>1033</v>
      </c>
      <c r="C220" s="305">
        <f>IFERROR(SUMIF(初度設備!$C$30:$C$74,B220,初度設備!$K$30:$K$74)*((初度設備!$H$3-初度設備!$I$3)/初度設備!$H$3),0)</f>
        <v>0</v>
      </c>
      <c r="D220" s="306">
        <f t="shared" si="56"/>
        <v>0</v>
      </c>
      <c r="E220" s="305">
        <f>IFERROR(SUMIF(人工呼吸器!$C$30:$C$74,B220,人工呼吸器!$K$30:$K$74)*((人工呼吸器!$H$3-人工呼吸器!$I$3)/人工呼吸器!$H$3),0)</f>
        <v>0</v>
      </c>
      <c r="F220" s="306">
        <f t="shared" si="57"/>
        <v>0</v>
      </c>
      <c r="G220" s="306">
        <f t="shared" si="58"/>
        <v>0</v>
      </c>
      <c r="H220" s="306">
        <f t="shared" si="59"/>
        <v>0</v>
      </c>
      <c r="I220" s="305">
        <f>IFERROR(SUMIF(簡易陰圧装置!$C$30:$C$74,B220,簡易陰圧装置!$K$30:$K$74)*((簡易陰圧装置!$H$3-簡易陰圧装置!$I$3)/簡易陰圧装置!$H$3),0)</f>
        <v>0</v>
      </c>
      <c r="J220" s="306">
        <f t="shared" si="60"/>
        <v>0</v>
      </c>
      <c r="K220" s="305">
        <f>IFERROR(SUMIF(簡易ベッド!$C$30:$C$74,B220,簡易ベッド!$K$30:$K$74)*((簡易ベッド!$H$3-簡易ベッド!$I$3)/簡易ベッド!$H$3),0)</f>
        <v>0</v>
      </c>
      <c r="L220" s="306">
        <f t="shared" si="61"/>
        <v>0</v>
      </c>
      <c r="M220" s="305">
        <f>IFERROR(SUMIF(体外式膜型人工肺!$C$30:$C$74,B220,体外式膜型人工肺!$K$30:$K$74)*((体外式膜型人工肺!$H$3-体外式膜型人工肺!$I$3)/体外式膜型人工肺!$H$3),0)</f>
        <v>0</v>
      </c>
      <c r="N220" s="306">
        <f t="shared" si="62"/>
        <v>0</v>
      </c>
      <c r="O220" s="306">
        <f t="shared" si="63"/>
        <v>0</v>
      </c>
      <c r="P220" s="306">
        <f t="shared" si="64"/>
        <v>0</v>
      </c>
      <c r="Q220" s="305">
        <f>IFERROR(SUMIF(紫外線照射装置!$C$30:$C$74,B220,紫外線照射装置!$K$30:$K$74)*((紫外線照射装置!$H$3-紫外線照射装置!$I$3)/紫外線照射装置!$H$3),0)</f>
        <v>0</v>
      </c>
      <c r="R220" s="306">
        <f t="shared" si="65"/>
        <v>0</v>
      </c>
      <c r="S220" s="419">
        <f t="shared" si="66"/>
        <v>0</v>
      </c>
      <c r="T220" s="305">
        <f>IFERROR(SUMIF(超音波画像診断装置!$C$30:$C$74,B220,超音波画像診断装置!$K$30:$K$74)*((超音波画像診断装置!$H$3-超音波画像診断装置!$I$3)/超音波画像診断装置!$H$3),0)</f>
        <v>0</v>
      </c>
      <c r="U220" s="306">
        <f t="shared" si="67"/>
        <v>0</v>
      </c>
      <c r="V220" s="305">
        <f>IFERROR(SUMIF(血液浄化装置!$C$30:$C$74,B220,血液浄化装置!$K$30:$K$74)*((血液浄化装置!$H$3-血液浄化装置!$I$3)/血液浄化装置!$H$3),0)</f>
        <v>0</v>
      </c>
      <c r="W220" s="306">
        <f t="shared" si="68"/>
        <v>0</v>
      </c>
      <c r="X220" s="305">
        <f>IFERROR(SUMIF(気管支鏡!$C$30:$C$74,B220,気管支鏡!$K$30:$K$74)*((気管支鏡!$H$3-気管支鏡!$I$3)/気管支鏡!$H$3),0)</f>
        <v>0</v>
      </c>
      <c r="Y220" s="306">
        <f t="shared" si="54"/>
        <v>0</v>
      </c>
      <c r="Z220" s="305">
        <f>IFERROR(SUMIF(CT撮影装置!$C$30:$C$74,B220,CT撮影装置!$K$30:$K$74)*((CT撮影装置!$H$3-CT撮影装置!$I$3)/CT撮影装置!$H$3),0)</f>
        <v>0</v>
      </c>
      <c r="AA220" s="306">
        <f t="shared" si="69"/>
        <v>0</v>
      </c>
      <c r="AB220" s="305">
        <f>IFERROR(SUMIF(生体情報モニタ!$C$30:$C$74,B220,生体情報モニタ!$K$30:$K$74)*((生体情報モニタ!$H$3-生体情報モニタ!$I$3)/生体情報モニタ!$H$3),0)</f>
        <v>0</v>
      </c>
      <c r="AC220" s="306">
        <f t="shared" si="55"/>
        <v>0</v>
      </c>
      <c r="AD220" s="305">
        <f>IFERROR(SUMIF(分娩監視装置!$C$30:$C$74,B220,分娩監視装置!$K$30:$K$74)*((分娩監視装置!$H$3-分娩監視装置!$I$3)/分娩監視装置!$H$3),0)</f>
        <v>0</v>
      </c>
      <c r="AE220" s="306">
        <f t="shared" si="70"/>
        <v>0</v>
      </c>
      <c r="AF220" s="305">
        <f>IFERROR(SUMIF(新生児モニタ!$C$30:$C$74,B220,新生児モニタ!$K$30:$K$74)*((新生児モニタ!$H$3-新生児モニタ!$I$3)/新生児モニタ!$H$3),0)</f>
        <v>0</v>
      </c>
      <c r="AG220" s="306">
        <f t="shared" si="71"/>
        <v>0</v>
      </c>
    </row>
    <row r="221" spans="2:33">
      <c r="B221" s="283" t="s">
        <v>1034</v>
      </c>
      <c r="C221" s="305">
        <f>IFERROR(SUMIF(初度設備!$C$30:$C$74,B221,初度設備!$K$30:$K$74)*((初度設備!$H$3-初度設備!$I$3)/初度設備!$H$3),0)</f>
        <v>0</v>
      </c>
      <c r="D221" s="306">
        <f t="shared" si="56"/>
        <v>0</v>
      </c>
      <c r="E221" s="305">
        <f>IFERROR(SUMIF(人工呼吸器!$C$30:$C$74,B221,人工呼吸器!$K$30:$K$74)*((人工呼吸器!$H$3-人工呼吸器!$I$3)/人工呼吸器!$H$3),0)</f>
        <v>0</v>
      </c>
      <c r="F221" s="306">
        <f t="shared" si="57"/>
        <v>0</v>
      </c>
      <c r="G221" s="306">
        <f t="shared" si="58"/>
        <v>0</v>
      </c>
      <c r="H221" s="306">
        <f t="shared" si="59"/>
        <v>0</v>
      </c>
      <c r="I221" s="305">
        <f>IFERROR(SUMIF(簡易陰圧装置!$C$30:$C$74,B221,簡易陰圧装置!$K$30:$K$74)*((簡易陰圧装置!$H$3-簡易陰圧装置!$I$3)/簡易陰圧装置!$H$3),0)</f>
        <v>0</v>
      </c>
      <c r="J221" s="306">
        <f t="shared" si="60"/>
        <v>0</v>
      </c>
      <c r="K221" s="305">
        <f>IFERROR(SUMIF(簡易ベッド!$C$30:$C$74,B221,簡易ベッド!$K$30:$K$74)*((簡易ベッド!$H$3-簡易ベッド!$I$3)/簡易ベッド!$H$3),0)</f>
        <v>0</v>
      </c>
      <c r="L221" s="306">
        <f t="shared" si="61"/>
        <v>0</v>
      </c>
      <c r="M221" s="305">
        <f>IFERROR(SUMIF(体外式膜型人工肺!$C$30:$C$74,B221,体外式膜型人工肺!$K$30:$K$74)*((体外式膜型人工肺!$H$3-体外式膜型人工肺!$I$3)/体外式膜型人工肺!$H$3),0)</f>
        <v>0</v>
      </c>
      <c r="N221" s="306">
        <f t="shared" si="62"/>
        <v>0</v>
      </c>
      <c r="O221" s="306">
        <f t="shared" si="63"/>
        <v>0</v>
      </c>
      <c r="P221" s="306">
        <f t="shared" si="64"/>
        <v>0</v>
      </c>
      <c r="Q221" s="305">
        <f>IFERROR(SUMIF(紫外線照射装置!$C$30:$C$74,B221,紫外線照射装置!$K$30:$K$74)*((紫外線照射装置!$H$3-紫外線照射装置!$I$3)/紫外線照射装置!$H$3),0)</f>
        <v>0</v>
      </c>
      <c r="R221" s="306">
        <f t="shared" si="65"/>
        <v>0</v>
      </c>
      <c r="S221" s="419">
        <f t="shared" si="66"/>
        <v>0</v>
      </c>
      <c r="T221" s="305">
        <f>IFERROR(SUMIF(超音波画像診断装置!$C$30:$C$74,B221,超音波画像診断装置!$K$30:$K$74)*((超音波画像診断装置!$H$3-超音波画像診断装置!$I$3)/超音波画像診断装置!$H$3),0)</f>
        <v>0</v>
      </c>
      <c r="U221" s="306">
        <f t="shared" si="67"/>
        <v>0</v>
      </c>
      <c r="V221" s="305">
        <f>IFERROR(SUMIF(血液浄化装置!$C$30:$C$74,B221,血液浄化装置!$K$30:$K$74)*((血液浄化装置!$H$3-血液浄化装置!$I$3)/血液浄化装置!$H$3),0)</f>
        <v>0</v>
      </c>
      <c r="W221" s="306">
        <f t="shared" si="68"/>
        <v>0</v>
      </c>
      <c r="X221" s="305">
        <f>IFERROR(SUMIF(気管支鏡!$C$30:$C$74,B221,気管支鏡!$K$30:$K$74)*((気管支鏡!$H$3-気管支鏡!$I$3)/気管支鏡!$H$3),0)</f>
        <v>0</v>
      </c>
      <c r="Y221" s="306">
        <f t="shared" si="54"/>
        <v>0</v>
      </c>
      <c r="Z221" s="305">
        <f>IFERROR(SUMIF(CT撮影装置!$C$30:$C$74,B221,CT撮影装置!$K$30:$K$74)*((CT撮影装置!$H$3-CT撮影装置!$I$3)/CT撮影装置!$H$3),0)</f>
        <v>0</v>
      </c>
      <c r="AA221" s="306">
        <f t="shared" si="69"/>
        <v>0</v>
      </c>
      <c r="AB221" s="305">
        <f>IFERROR(SUMIF(生体情報モニタ!$C$30:$C$74,B221,生体情報モニタ!$K$30:$K$74)*((生体情報モニタ!$H$3-生体情報モニタ!$I$3)/生体情報モニタ!$H$3),0)</f>
        <v>0</v>
      </c>
      <c r="AC221" s="306">
        <f t="shared" si="55"/>
        <v>0</v>
      </c>
      <c r="AD221" s="305">
        <f>IFERROR(SUMIF(分娩監視装置!$C$30:$C$74,B221,分娩監視装置!$K$30:$K$74)*((分娩監視装置!$H$3-分娩監視装置!$I$3)/分娩監視装置!$H$3),0)</f>
        <v>0</v>
      </c>
      <c r="AE221" s="306">
        <f t="shared" si="70"/>
        <v>0</v>
      </c>
      <c r="AF221" s="305">
        <f>IFERROR(SUMIF(新生児モニタ!$C$30:$C$74,B221,新生児モニタ!$K$30:$K$74)*((新生児モニタ!$H$3-新生児モニタ!$I$3)/新生児モニタ!$H$3),0)</f>
        <v>0</v>
      </c>
      <c r="AG221" s="306">
        <f t="shared" si="71"/>
        <v>0</v>
      </c>
    </row>
    <row r="222" spans="2:33">
      <c r="B222" s="283" t="s">
        <v>1035</v>
      </c>
      <c r="C222" s="305">
        <f>IFERROR(SUMIF(初度設備!$C$30:$C$74,B222,初度設備!$K$30:$K$74)*((初度設備!$H$3-初度設備!$I$3)/初度設備!$H$3),0)</f>
        <v>0</v>
      </c>
      <c r="D222" s="306">
        <f t="shared" si="56"/>
        <v>0</v>
      </c>
      <c r="E222" s="305">
        <f>IFERROR(SUMIF(人工呼吸器!$C$30:$C$74,B222,人工呼吸器!$K$30:$K$74)*((人工呼吸器!$H$3-人工呼吸器!$I$3)/人工呼吸器!$H$3),0)</f>
        <v>0</v>
      </c>
      <c r="F222" s="306">
        <f t="shared" si="57"/>
        <v>0</v>
      </c>
      <c r="G222" s="306">
        <f t="shared" si="58"/>
        <v>0</v>
      </c>
      <c r="H222" s="306">
        <f t="shared" si="59"/>
        <v>0</v>
      </c>
      <c r="I222" s="305">
        <f>IFERROR(SUMIF(簡易陰圧装置!$C$30:$C$74,B222,簡易陰圧装置!$K$30:$K$74)*((簡易陰圧装置!$H$3-簡易陰圧装置!$I$3)/簡易陰圧装置!$H$3),0)</f>
        <v>0</v>
      </c>
      <c r="J222" s="306">
        <f t="shared" si="60"/>
        <v>0</v>
      </c>
      <c r="K222" s="305">
        <f>IFERROR(SUMIF(簡易ベッド!$C$30:$C$74,B222,簡易ベッド!$K$30:$K$74)*((簡易ベッド!$H$3-簡易ベッド!$I$3)/簡易ベッド!$H$3),0)</f>
        <v>0</v>
      </c>
      <c r="L222" s="306">
        <f t="shared" si="61"/>
        <v>0</v>
      </c>
      <c r="M222" s="305">
        <f>IFERROR(SUMIF(体外式膜型人工肺!$C$30:$C$74,B222,体外式膜型人工肺!$K$30:$K$74)*((体外式膜型人工肺!$H$3-体外式膜型人工肺!$I$3)/体外式膜型人工肺!$H$3),0)</f>
        <v>0</v>
      </c>
      <c r="N222" s="306">
        <f t="shared" si="62"/>
        <v>0</v>
      </c>
      <c r="O222" s="306">
        <f t="shared" si="63"/>
        <v>0</v>
      </c>
      <c r="P222" s="306">
        <f t="shared" si="64"/>
        <v>0</v>
      </c>
      <c r="Q222" s="305">
        <f>IFERROR(SUMIF(紫外線照射装置!$C$30:$C$74,B222,紫外線照射装置!$K$30:$K$74)*((紫外線照射装置!$H$3-紫外線照射装置!$I$3)/紫外線照射装置!$H$3),0)</f>
        <v>0</v>
      </c>
      <c r="R222" s="306">
        <f t="shared" si="65"/>
        <v>0</v>
      </c>
      <c r="S222" s="419">
        <f t="shared" si="66"/>
        <v>0</v>
      </c>
      <c r="T222" s="305">
        <f>IFERROR(SUMIF(超音波画像診断装置!$C$30:$C$74,B222,超音波画像診断装置!$K$30:$K$74)*((超音波画像診断装置!$H$3-超音波画像診断装置!$I$3)/超音波画像診断装置!$H$3),0)</f>
        <v>0</v>
      </c>
      <c r="U222" s="306">
        <f t="shared" si="67"/>
        <v>0</v>
      </c>
      <c r="V222" s="305">
        <f>IFERROR(SUMIF(血液浄化装置!$C$30:$C$74,B222,血液浄化装置!$K$30:$K$74)*((血液浄化装置!$H$3-血液浄化装置!$I$3)/血液浄化装置!$H$3),0)</f>
        <v>0</v>
      </c>
      <c r="W222" s="306">
        <f t="shared" si="68"/>
        <v>0</v>
      </c>
      <c r="X222" s="305">
        <f>IFERROR(SUMIF(気管支鏡!$C$30:$C$74,B222,気管支鏡!$K$30:$K$74)*((気管支鏡!$H$3-気管支鏡!$I$3)/気管支鏡!$H$3),0)</f>
        <v>0</v>
      </c>
      <c r="Y222" s="306">
        <f t="shared" si="54"/>
        <v>0</v>
      </c>
      <c r="Z222" s="305">
        <f>IFERROR(SUMIF(CT撮影装置!$C$30:$C$74,B222,CT撮影装置!$K$30:$K$74)*((CT撮影装置!$H$3-CT撮影装置!$I$3)/CT撮影装置!$H$3),0)</f>
        <v>0</v>
      </c>
      <c r="AA222" s="306">
        <f t="shared" si="69"/>
        <v>0</v>
      </c>
      <c r="AB222" s="305">
        <f>IFERROR(SUMIF(生体情報モニタ!$C$30:$C$74,B222,生体情報モニタ!$K$30:$K$74)*((生体情報モニタ!$H$3-生体情報モニタ!$I$3)/生体情報モニタ!$H$3),0)</f>
        <v>0</v>
      </c>
      <c r="AC222" s="306">
        <f t="shared" si="55"/>
        <v>0</v>
      </c>
      <c r="AD222" s="305">
        <f>IFERROR(SUMIF(分娩監視装置!$C$30:$C$74,B222,分娩監視装置!$K$30:$K$74)*((分娩監視装置!$H$3-分娩監視装置!$I$3)/分娩監視装置!$H$3),0)</f>
        <v>0</v>
      </c>
      <c r="AE222" s="306">
        <f t="shared" si="70"/>
        <v>0</v>
      </c>
      <c r="AF222" s="305">
        <f>IFERROR(SUMIF(新生児モニタ!$C$30:$C$74,B222,新生児モニタ!$K$30:$K$74)*((新生児モニタ!$H$3-新生児モニタ!$I$3)/新生児モニタ!$H$3),0)</f>
        <v>0</v>
      </c>
      <c r="AG222" s="306">
        <f t="shared" si="71"/>
        <v>0</v>
      </c>
    </row>
    <row r="223" spans="2:33">
      <c r="B223" s="283" t="s">
        <v>1036</v>
      </c>
      <c r="C223" s="305">
        <f>IFERROR(SUMIF(初度設備!$C$30:$C$74,B223,初度設備!$K$30:$K$74)*((初度設備!$H$3-初度設備!$I$3)/初度設備!$H$3),0)</f>
        <v>0</v>
      </c>
      <c r="D223" s="306">
        <f t="shared" si="56"/>
        <v>0</v>
      </c>
      <c r="E223" s="305">
        <f>IFERROR(SUMIF(人工呼吸器!$C$30:$C$74,B223,人工呼吸器!$K$30:$K$74)*((人工呼吸器!$H$3-人工呼吸器!$I$3)/人工呼吸器!$H$3),0)</f>
        <v>0</v>
      </c>
      <c r="F223" s="306">
        <f t="shared" si="57"/>
        <v>0</v>
      </c>
      <c r="G223" s="306">
        <f t="shared" si="58"/>
        <v>0</v>
      </c>
      <c r="H223" s="306">
        <f t="shared" si="59"/>
        <v>0</v>
      </c>
      <c r="I223" s="305">
        <f>IFERROR(SUMIF(簡易陰圧装置!$C$30:$C$74,B223,簡易陰圧装置!$K$30:$K$74)*((簡易陰圧装置!$H$3-簡易陰圧装置!$I$3)/簡易陰圧装置!$H$3),0)</f>
        <v>0</v>
      </c>
      <c r="J223" s="306">
        <f t="shared" si="60"/>
        <v>0</v>
      </c>
      <c r="K223" s="305">
        <f>IFERROR(SUMIF(簡易ベッド!$C$30:$C$74,B223,簡易ベッド!$K$30:$K$74)*((簡易ベッド!$H$3-簡易ベッド!$I$3)/簡易ベッド!$H$3),0)</f>
        <v>0</v>
      </c>
      <c r="L223" s="306">
        <f t="shared" si="61"/>
        <v>0</v>
      </c>
      <c r="M223" s="305">
        <f>IFERROR(SUMIF(体外式膜型人工肺!$C$30:$C$74,B223,体外式膜型人工肺!$K$30:$K$74)*((体外式膜型人工肺!$H$3-体外式膜型人工肺!$I$3)/体外式膜型人工肺!$H$3),0)</f>
        <v>0</v>
      </c>
      <c r="N223" s="306">
        <f t="shared" si="62"/>
        <v>0</v>
      </c>
      <c r="O223" s="306">
        <f t="shared" si="63"/>
        <v>0</v>
      </c>
      <c r="P223" s="306">
        <f t="shared" si="64"/>
        <v>0</v>
      </c>
      <c r="Q223" s="305">
        <f>IFERROR(SUMIF(紫外線照射装置!$C$30:$C$74,B223,紫外線照射装置!$K$30:$K$74)*((紫外線照射装置!$H$3-紫外線照射装置!$I$3)/紫外線照射装置!$H$3),0)</f>
        <v>0</v>
      </c>
      <c r="R223" s="306">
        <f t="shared" si="65"/>
        <v>0</v>
      </c>
      <c r="S223" s="419">
        <f t="shared" si="66"/>
        <v>0</v>
      </c>
      <c r="T223" s="305">
        <f>IFERROR(SUMIF(超音波画像診断装置!$C$30:$C$74,B223,超音波画像診断装置!$K$30:$K$74)*((超音波画像診断装置!$H$3-超音波画像診断装置!$I$3)/超音波画像診断装置!$H$3),0)</f>
        <v>0</v>
      </c>
      <c r="U223" s="306">
        <f t="shared" si="67"/>
        <v>0</v>
      </c>
      <c r="V223" s="305">
        <f>IFERROR(SUMIF(血液浄化装置!$C$30:$C$74,B223,血液浄化装置!$K$30:$K$74)*((血液浄化装置!$H$3-血液浄化装置!$I$3)/血液浄化装置!$H$3),0)</f>
        <v>0</v>
      </c>
      <c r="W223" s="306">
        <f t="shared" si="68"/>
        <v>0</v>
      </c>
      <c r="X223" s="305">
        <f>IFERROR(SUMIF(気管支鏡!$C$30:$C$74,B223,気管支鏡!$K$30:$K$74)*((気管支鏡!$H$3-気管支鏡!$I$3)/気管支鏡!$H$3),0)</f>
        <v>0</v>
      </c>
      <c r="Y223" s="306">
        <f t="shared" si="54"/>
        <v>0</v>
      </c>
      <c r="Z223" s="305">
        <f>IFERROR(SUMIF(CT撮影装置!$C$30:$C$74,B223,CT撮影装置!$K$30:$K$74)*((CT撮影装置!$H$3-CT撮影装置!$I$3)/CT撮影装置!$H$3),0)</f>
        <v>0</v>
      </c>
      <c r="AA223" s="306">
        <f t="shared" si="69"/>
        <v>0</v>
      </c>
      <c r="AB223" s="305">
        <f>IFERROR(SUMIF(生体情報モニタ!$C$30:$C$74,B223,生体情報モニタ!$K$30:$K$74)*((生体情報モニタ!$H$3-生体情報モニタ!$I$3)/生体情報モニタ!$H$3),0)</f>
        <v>0</v>
      </c>
      <c r="AC223" s="306">
        <f t="shared" si="55"/>
        <v>0</v>
      </c>
      <c r="AD223" s="305">
        <f>IFERROR(SUMIF(分娩監視装置!$C$30:$C$74,B223,分娩監視装置!$K$30:$K$74)*((分娩監視装置!$H$3-分娩監視装置!$I$3)/分娩監視装置!$H$3),0)</f>
        <v>0</v>
      </c>
      <c r="AE223" s="306">
        <f t="shared" si="70"/>
        <v>0</v>
      </c>
      <c r="AF223" s="305">
        <f>IFERROR(SUMIF(新生児モニタ!$C$30:$C$74,B223,新生児モニタ!$K$30:$K$74)*((新生児モニタ!$H$3-新生児モニタ!$I$3)/新生児モニタ!$H$3),0)</f>
        <v>0</v>
      </c>
      <c r="AG223" s="306">
        <f t="shared" si="71"/>
        <v>0</v>
      </c>
    </row>
    <row r="224" spans="2:33">
      <c r="B224" s="283" t="s">
        <v>1037</v>
      </c>
      <c r="C224" s="305">
        <f>IFERROR(SUMIF(初度設備!$C$30:$C$74,B224,初度設備!$K$30:$K$74)*((初度設備!$H$3-初度設備!$I$3)/初度設備!$H$3),0)</f>
        <v>0</v>
      </c>
      <c r="D224" s="306">
        <f t="shared" si="56"/>
        <v>0</v>
      </c>
      <c r="E224" s="305">
        <f>IFERROR(SUMIF(人工呼吸器!$C$30:$C$74,B224,人工呼吸器!$K$30:$K$74)*((人工呼吸器!$H$3-人工呼吸器!$I$3)/人工呼吸器!$H$3),0)</f>
        <v>0</v>
      </c>
      <c r="F224" s="306">
        <f t="shared" si="57"/>
        <v>0</v>
      </c>
      <c r="G224" s="306">
        <f t="shared" si="58"/>
        <v>0</v>
      </c>
      <c r="H224" s="306">
        <f t="shared" si="59"/>
        <v>0</v>
      </c>
      <c r="I224" s="305">
        <f>IFERROR(SUMIF(簡易陰圧装置!$C$30:$C$74,B224,簡易陰圧装置!$K$30:$K$74)*((簡易陰圧装置!$H$3-簡易陰圧装置!$I$3)/簡易陰圧装置!$H$3),0)</f>
        <v>0</v>
      </c>
      <c r="J224" s="306">
        <f t="shared" si="60"/>
        <v>0</v>
      </c>
      <c r="K224" s="305">
        <f>IFERROR(SUMIF(簡易ベッド!$C$30:$C$74,B224,簡易ベッド!$K$30:$K$74)*((簡易ベッド!$H$3-簡易ベッド!$I$3)/簡易ベッド!$H$3),0)</f>
        <v>0</v>
      </c>
      <c r="L224" s="306">
        <f t="shared" si="61"/>
        <v>0</v>
      </c>
      <c r="M224" s="305">
        <f>IFERROR(SUMIF(体外式膜型人工肺!$C$30:$C$74,B224,体外式膜型人工肺!$K$30:$K$74)*((体外式膜型人工肺!$H$3-体外式膜型人工肺!$I$3)/体外式膜型人工肺!$H$3),0)</f>
        <v>0</v>
      </c>
      <c r="N224" s="306">
        <f t="shared" si="62"/>
        <v>0</v>
      </c>
      <c r="O224" s="306">
        <f t="shared" si="63"/>
        <v>0</v>
      </c>
      <c r="P224" s="306">
        <f t="shared" si="64"/>
        <v>0</v>
      </c>
      <c r="Q224" s="305">
        <f>IFERROR(SUMIF(紫外線照射装置!$C$30:$C$74,B224,紫外線照射装置!$K$30:$K$74)*((紫外線照射装置!$H$3-紫外線照射装置!$I$3)/紫外線照射装置!$H$3),0)</f>
        <v>0</v>
      </c>
      <c r="R224" s="306">
        <f t="shared" si="65"/>
        <v>0</v>
      </c>
      <c r="S224" s="419">
        <f t="shared" si="66"/>
        <v>0</v>
      </c>
      <c r="T224" s="305">
        <f>IFERROR(SUMIF(超音波画像診断装置!$C$30:$C$74,B224,超音波画像診断装置!$K$30:$K$74)*((超音波画像診断装置!$H$3-超音波画像診断装置!$I$3)/超音波画像診断装置!$H$3),0)</f>
        <v>0</v>
      </c>
      <c r="U224" s="306">
        <f t="shared" si="67"/>
        <v>0</v>
      </c>
      <c r="V224" s="305">
        <f>IFERROR(SUMIF(血液浄化装置!$C$30:$C$74,B224,血液浄化装置!$K$30:$K$74)*((血液浄化装置!$H$3-血液浄化装置!$I$3)/血液浄化装置!$H$3),0)</f>
        <v>0</v>
      </c>
      <c r="W224" s="306">
        <f t="shared" si="68"/>
        <v>0</v>
      </c>
      <c r="X224" s="305">
        <f>IFERROR(SUMIF(気管支鏡!$C$30:$C$74,B224,気管支鏡!$K$30:$K$74)*((気管支鏡!$H$3-気管支鏡!$I$3)/気管支鏡!$H$3),0)</f>
        <v>0</v>
      </c>
      <c r="Y224" s="306">
        <f t="shared" si="54"/>
        <v>0</v>
      </c>
      <c r="Z224" s="305">
        <f>IFERROR(SUMIF(CT撮影装置!$C$30:$C$74,B224,CT撮影装置!$K$30:$K$74)*((CT撮影装置!$H$3-CT撮影装置!$I$3)/CT撮影装置!$H$3),0)</f>
        <v>0</v>
      </c>
      <c r="AA224" s="306">
        <f t="shared" si="69"/>
        <v>0</v>
      </c>
      <c r="AB224" s="305">
        <f>IFERROR(SUMIF(生体情報モニタ!$C$30:$C$74,B224,生体情報モニタ!$K$30:$K$74)*((生体情報モニタ!$H$3-生体情報モニタ!$I$3)/生体情報モニタ!$H$3),0)</f>
        <v>0</v>
      </c>
      <c r="AC224" s="306">
        <f t="shared" si="55"/>
        <v>0</v>
      </c>
      <c r="AD224" s="305">
        <f>IFERROR(SUMIF(分娩監視装置!$C$30:$C$74,B224,分娩監視装置!$K$30:$K$74)*((分娩監視装置!$H$3-分娩監視装置!$I$3)/分娩監視装置!$H$3),0)</f>
        <v>0</v>
      </c>
      <c r="AE224" s="306">
        <f t="shared" si="70"/>
        <v>0</v>
      </c>
      <c r="AF224" s="305">
        <f>IFERROR(SUMIF(新生児モニタ!$C$30:$C$74,B224,新生児モニタ!$K$30:$K$74)*((新生児モニタ!$H$3-新生児モニタ!$I$3)/新生児モニタ!$H$3),0)</f>
        <v>0</v>
      </c>
      <c r="AG224" s="306">
        <f t="shared" si="71"/>
        <v>0</v>
      </c>
    </row>
    <row r="225" spans="2:33">
      <c r="B225" s="283" t="s">
        <v>1038</v>
      </c>
      <c r="C225" s="305">
        <f>IFERROR(SUMIF(初度設備!$C$30:$C$74,B225,初度設備!$K$30:$K$74)*((初度設備!$H$3-初度設備!$I$3)/初度設備!$H$3),0)</f>
        <v>0</v>
      </c>
      <c r="D225" s="306">
        <f t="shared" si="56"/>
        <v>0</v>
      </c>
      <c r="E225" s="305">
        <f>IFERROR(SUMIF(人工呼吸器!$C$30:$C$74,B225,人工呼吸器!$K$30:$K$74)*((人工呼吸器!$H$3-人工呼吸器!$I$3)/人工呼吸器!$H$3),0)</f>
        <v>0</v>
      </c>
      <c r="F225" s="306">
        <f t="shared" si="57"/>
        <v>0</v>
      </c>
      <c r="G225" s="306">
        <f t="shared" si="58"/>
        <v>0</v>
      </c>
      <c r="H225" s="306">
        <f t="shared" si="59"/>
        <v>0</v>
      </c>
      <c r="I225" s="305">
        <f>IFERROR(SUMIF(簡易陰圧装置!$C$30:$C$74,B225,簡易陰圧装置!$K$30:$K$74)*((簡易陰圧装置!$H$3-簡易陰圧装置!$I$3)/簡易陰圧装置!$H$3),0)</f>
        <v>0</v>
      </c>
      <c r="J225" s="306">
        <f t="shared" si="60"/>
        <v>0</v>
      </c>
      <c r="K225" s="305">
        <f>IFERROR(SUMIF(簡易ベッド!$C$30:$C$74,B225,簡易ベッド!$K$30:$K$74)*((簡易ベッド!$H$3-簡易ベッド!$I$3)/簡易ベッド!$H$3),0)</f>
        <v>0</v>
      </c>
      <c r="L225" s="306">
        <f t="shared" si="61"/>
        <v>0</v>
      </c>
      <c r="M225" s="305">
        <f>IFERROR(SUMIF(体外式膜型人工肺!$C$30:$C$74,B225,体外式膜型人工肺!$K$30:$K$74)*((体外式膜型人工肺!$H$3-体外式膜型人工肺!$I$3)/体外式膜型人工肺!$H$3),0)</f>
        <v>0</v>
      </c>
      <c r="N225" s="306">
        <f t="shared" si="62"/>
        <v>0</v>
      </c>
      <c r="O225" s="306">
        <f t="shared" si="63"/>
        <v>0</v>
      </c>
      <c r="P225" s="306">
        <f t="shared" si="64"/>
        <v>0</v>
      </c>
      <c r="Q225" s="305">
        <f>IFERROR(SUMIF(紫外線照射装置!$C$30:$C$74,B225,紫外線照射装置!$K$30:$K$74)*((紫外線照射装置!$H$3-紫外線照射装置!$I$3)/紫外線照射装置!$H$3),0)</f>
        <v>0</v>
      </c>
      <c r="R225" s="306">
        <f t="shared" si="65"/>
        <v>0</v>
      </c>
      <c r="S225" s="419">
        <f t="shared" si="66"/>
        <v>0</v>
      </c>
      <c r="T225" s="305">
        <f>IFERROR(SUMIF(超音波画像診断装置!$C$30:$C$74,B225,超音波画像診断装置!$K$30:$K$74)*((超音波画像診断装置!$H$3-超音波画像診断装置!$I$3)/超音波画像診断装置!$H$3),0)</f>
        <v>0</v>
      </c>
      <c r="U225" s="306">
        <f t="shared" si="67"/>
        <v>0</v>
      </c>
      <c r="V225" s="305">
        <f>IFERROR(SUMIF(血液浄化装置!$C$30:$C$74,B225,血液浄化装置!$K$30:$K$74)*((血液浄化装置!$H$3-血液浄化装置!$I$3)/血液浄化装置!$H$3),0)</f>
        <v>0</v>
      </c>
      <c r="W225" s="306">
        <f t="shared" si="68"/>
        <v>0</v>
      </c>
      <c r="X225" s="305">
        <f>IFERROR(SUMIF(気管支鏡!$C$30:$C$74,B225,気管支鏡!$K$30:$K$74)*((気管支鏡!$H$3-気管支鏡!$I$3)/気管支鏡!$H$3),0)</f>
        <v>0</v>
      </c>
      <c r="Y225" s="306">
        <f t="shared" si="54"/>
        <v>0</v>
      </c>
      <c r="Z225" s="305">
        <f>IFERROR(SUMIF(CT撮影装置!$C$30:$C$74,B225,CT撮影装置!$K$30:$K$74)*((CT撮影装置!$H$3-CT撮影装置!$I$3)/CT撮影装置!$H$3),0)</f>
        <v>0</v>
      </c>
      <c r="AA225" s="306">
        <f t="shared" si="69"/>
        <v>0</v>
      </c>
      <c r="AB225" s="305">
        <f>IFERROR(SUMIF(生体情報モニタ!$C$30:$C$74,B225,生体情報モニタ!$K$30:$K$74)*((生体情報モニタ!$H$3-生体情報モニタ!$I$3)/生体情報モニタ!$H$3),0)</f>
        <v>0</v>
      </c>
      <c r="AC225" s="306">
        <f t="shared" si="55"/>
        <v>0</v>
      </c>
      <c r="AD225" s="305">
        <f>IFERROR(SUMIF(分娩監視装置!$C$30:$C$74,B225,分娩監視装置!$K$30:$K$74)*((分娩監視装置!$H$3-分娩監視装置!$I$3)/分娩監視装置!$H$3),0)</f>
        <v>0</v>
      </c>
      <c r="AE225" s="306">
        <f t="shared" si="70"/>
        <v>0</v>
      </c>
      <c r="AF225" s="305">
        <f>IFERROR(SUMIF(新生児モニタ!$C$30:$C$74,B225,新生児モニタ!$K$30:$K$74)*((新生児モニタ!$H$3-新生児モニタ!$I$3)/新生児モニタ!$H$3),0)</f>
        <v>0</v>
      </c>
      <c r="AG225" s="306">
        <f t="shared" si="71"/>
        <v>0</v>
      </c>
    </row>
    <row r="226" spans="2:33">
      <c r="B226" s="283" t="s">
        <v>1039</v>
      </c>
      <c r="C226" s="305">
        <f>IFERROR(SUMIF(初度設備!$C$30:$C$74,B226,初度設備!$K$30:$K$74)*((初度設備!$H$3-初度設備!$I$3)/初度設備!$H$3),0)</f>
        <v>0</v>
      </c>
      <c r="D226" s="306">
        <f t="shared" si="56"/>
        <v>0</v>
      </c>
      <c r="E226" s="305">
        <f>IFERROR(SUMIF(人工呼吸器!$C$30:$C$74,B226,人工呼吸器!$K$30:$K$74)*((人工呼吸器!$H$3-人工呼吸器!$I$3)/人工呼吸器!$H$3),0)</f>
        <v>0</v>
      </c>
      <c r="F226" s="306">
        <f t="shared" si="57"/>
        <v>0</v>
      </c>
      <c r="G226" s="306">
        <f t="shared" si="58"/>
        <v>0</v>
      </c>
      <c r="H226" s="306">
        <f t="shared" si="59"/>
        <v>0</v>
      </c>
      <c r="I226" s="305">
        <f>IFERROR(SUMIF(簡易陰圧装置!$C$30:$C$74,B226,簡易陰圧装置!$K$30:$K$74)*((簡易陰圧装置!$H$3-簡易陰圧装置!$I$3)/簡易陰圧装置!$H$3),0)</f>
        <v>0</v>
      </c>
      <c r="J226" s="306">
        <f t="shared" si="60"/>
        <v>0</v>
      </c>
      <c r="K226" s="305">
        <f>IFERROR(SUMIF(簡易ベッド!$C$30:$C$74,B226,簡易ベッド!$K$30:$K$74)*((簡易ベッド!$H$3-簡易ベッド!$I$3)/簡易ベッド!$H$3),0)</f>
        <v>0</v>
      </c>
      <c r="L226" s="306">
        <f t="shared" si="61"/>
        <v>0</v>
      </c>
      <c r="M226" s="305">
        <f>IFERROR(SUMIF(体外式膜型人工肺!$C$30:$C$74,B226,体外式膜型人工肺!$K$30:$K$74)*((体外式膜型人工肺!$H$3-体外式膜型人工肺!$I$3)/体外式膜型人工肺!$H$3),0)</f>
        <v>0</v>
      </c>
      <c r="N226" s="306">
        <f t="shared" si="62"/>
        <v>0</v>
      </c>
      <c r="O226" s="306">
        <f t="shared" si="63"/>
        <v>0</v>
      </c>
      <c r="P226" s="306">
        <f t="shared" si="64"/>
        <v>0</v>
      </c>
      <c r="Q226" s="305">
        <f>IFERROR(SUMIF(紫外線照射装置!$C$30:$C$74,B226,紫外線照射装置!$K$30:$K$74)*((紫外線照射装置!$H$3-紫外線照射装置!$I$3)/紫外線照射装置!$H$3),0)</f>
        <v>0</v>
      </c>
      <c r="R226" s="306">
        <f t="shared" si="65"/>
        <v>0</v>
      </c>
      <c r="S226" s="419">
        <f t="shared" si="66"/>
        <v>0</v>
      </c>
      <c r="T226" s="305">
        <f>IFERROR(SUMIF(超音波画像診断装置!$C$30:$C$74,B226,超音波画像診断装置!$K$30:$K$74)*((超音波画像診断装置!$H$3-超音波画像診断装置!$I$3)/超音波画像診断装置!$H$3),0)</f>
        <v>0</v>
      </c>
      <c r="U226" s="306">
        <f t="shared" si="67"/>
        <v>0</v>
      </c>
      <c r="V226" s="305">
        <f>IFERROR(SUMIF(血液浄化装置!$C$30:$C$74,B226,血液浄化装置!$K$30:$K$74)*((血液浄化装置!$H$3-血液浄化装置!$I$3)/血液浄化装置!$H$3),0)</f>
        <v>0</v>
      </c>
      <c r="W226" s="306">
        <f t="shared" si="68"/>
        <v>0</v>
      </c>
      <c r="X226" s="305">
        <f>IFERROR(SUMIF(気管支鏡!$C$30:$C$74,B226,気管支鏡!$K$30:$K$74)*((気管支鏡!$H$3-気管支鏡!$I$3)/気管支鏡!$H$3),0)</f>
        <v>0</v>
      </c>
      <c r="Y226" s="306">
        <f t="shared" si="54"/>
        <v>0</v>
      </c>
      <c r="Z226" s="305">
        <f>IFERROR(SUMIF(CT撮影装置!$C$30:$C$74,B226,CT撮影装置!$K$30:$K$74)*((CT撮影装置!$H$3-CT撮影装置!$I$3)/CT撮影装置!$H$3),0)</f>
        <v>0</v>
      </c>
      <c r="AA226" s="306">
        <f t="shared" si="69"/>
        <v>0</v>
      </c>
      <c r="AB226" s="305">
        <f>IFERROR(SUMIF(生体情報モニタ!$C$30:$C$74,B226,生体情報モニタ!$K$30:$K$74)*((生体情報モニタ!$H$3-生体情報モニタ!$I$3)/生体情報モニタ!$H$3),0)</f>
        <v>0</v>
      </c>
      <c r="AC226" s="306">
        <f t="shared" si="55"/>
        <v>0</v>
      </c>
      <c r="AD226" s="305">
        <f>IFERROR(SUMIF(分娩監視装置!$C$30:$C$74,B226,分娩監視装置!$K$30:$K$74)*((分娩監視装置!$H$3-分娩監視装置!$I$3)/分娩監視装置!$H$3),0)</f>
        <v>0</v>
      </c>
      <c r="AE226" s="306">
        <f t="shared" si="70"/>
        <v>0</v>
      </c>
      <c r="AF226" s="305">
        <f>IFERROR(SUMIF(新生児モニタ!$C$30:$C$74,B226,新生児モニタ!$K$30:$K$74)*((新生児モニタ!$H$3-新生児モニタ!$I$3)/新生児モニタ!$H$3),0)</f>
        <v>0</v>
      </c>
      <c r="AG226" s="306">
        <f t="shared" si="71"/>
        <v>0</v>
      </c>
    </row>
    <row r="227" spans="2:33">
      <c r="B227" s="283" t="s">
        <v>1040</v>
      </c>
      <c r="C227" s="305">
        <f>IFERROR(SUMIF(初度設備!$C$30:$C$74,B227,初度設備!$K$30:$K$74)*((初度設備!$H$3-初度設備!$I$3)/初度設備!$H$3),0)</f>
        <v>0</v>
      </c>
      <c r="D227" s="306">
        <f t="shared" si="56"/>
        <v>0</v>
      </c>
      <c r="E227" s="305">
        <f>IFERROR(SUMIF(人工呼吸器!$C$30:$C$74,B227,人工呼吸器!$K$30:$K$74)*((人工呼吸器!$H$3-人工呼吸器!$I$3)/人工呼吸器!$H$3),0)</f>
        <v>0</v>
      </c>
      <c r="F227" s="306">
        <f t="shared" si="57"/>
        <v>0</v>
      </c>
      <c r="G227" s="306">
        <f t="shared" si="58"/>
        <v>0</v>
      </c>
      <c r="H227" s="306">
        <f t="shared" si="59"/>
        <v>0</v>
      </c>
      <c r="I227" s="305">
        <f>IFERROR(SUMIF(簡易陰圧装置!$C$30:$C$74,B227,簡易陰圧装置!$K$30:$K$74)*((簡易陰圧装置!$H$3-簡易陰圧装置!$I$3)/簡易陰圧装置!$H$3),0)</f>
        <v>0</v>
      </c>
      <c r="J227" s="306">
        <f t="shared" si="60"/>
        <v>0</v>
      </c>
      <c r="K227" s="305">
        <f>IFERROR(SUMIF(簡易ベッド!$C$30:$C$74,B227,簡易ベッド!$K$30:$K$74)*((簡易ベッド!$H$3-簡易ベッド!$I$3)/簡易ベッド!$H$3),0)</f>
        <v>0</v>
      </c>
      <c r="L227" s="306">
        <f t="shared" si="61"/>
        <v>0</v>
      </c>
      <c r="M227" s="305">
        <f>IFERROR(SUMIF(体外式膜型人工肺!$C$30:$C$74,B227,体外式膜型人工肺!$K$30:$K$74)*((体外式膜型人工肺!$H$3-体外式膜型人工肺!$I$3)/体外式膜型人工肺!$H$3),0)</f>
        <v>0</v>
      </c>
      <c r="N227" s="306">
        <f t="shared" si="62"/>
        <v>0</v>
      </c>
      <c r="O227" s="306">
        <f t="shared" si="63"/>
        <v>0</v>
      </c>
      <c r="P227" s="306">
        <f t="shared" si="64"/>
        <v>0</v>
      </c>
      <c r="Q227" s="305">
        <f>IFERROR(SUMIF(紫外線照射装置!$C$30:$C$74,B227,紫外線照射装置!$K$30:$K$74)*((紫外線照射装置!$H$3-紫外線照射装置!$I$3)/紫外線照射装置!$H$3),0)</f>
        <v>0</v>
      </c>
      <c r="R227" s="306">
        <f t="shared" si="65"/>
        <v>0</v>
      </c>
      <c r="S227" s="419">
        <f t="shared" si="66"/>
        <v>0</v>
      </c>
      <c r="T227" s="305">
        <f>IFERROR(SUMIF(超音波画像診断装置!$C$30:$C$74,B227,超音波画像診断装置!$K$30:$K$74)*((超音波画像診断装置!$H$3-超音波画像診断装置!$I$3)/超音波画像診断装置!$H$3),0)</f>
        <v>0</v>
      </c>
      <c r="U227" s="306">
        <f t="shared" si="67"/>
        <v>0</v>
      </c>
      <c r="V227" s="305">
        <f>IFERROR(SUMIF(血液浄化装置!$C$30:$C$74,B227,血液浄化装置!$K$30:$K$74)*((血液浄化装置!$H$3-血液浄化装置!$I$3)/血液浄化装置!$H$3),0)</f>
        <v>0</v>
      </c>
      <c r="W227" s="306">
        <f t="shared" si="68"/>
        <v>0</v>
      </c>
      <c r="X227" s="305">
        <f>IFERROR(SUMIF(気管支鏡!$C$30:$C$74,B227,気管支鏡!$K$30:$K$74)*((気管支鏡!$H$3-気管支鏡!$I$3)/気管支鏡!$H$3),0)</f>
        <v>0</v>
      </c>
      <c r="Y227" s="306">
        <f t="shared" si="54"/>
        <v>0</v>
      </c>
      <c r="Z227" s="305">
        <f>IFERROR(SUMIF(CT撮影装置!$C$30:$C$74,B227,CT撮影装置!$K$30:$K$74)*((CT撮影装置!$H$3-CT撮影装置!$I$3)/CT撮影装置!$H$3),0)</f>
        <v>0</v>
      </c>
      <c r="AA227" s="306">
        <f t="shared" si="69"/>
        <v>0</v>
      </c>
      <c r="AB227" s="305">
        <f>IFERROR(SUMIF(生体情報モニタ!$C$30:$C$74,B227,生体情報モニタ!$K$30:$K$74)*((生体情報モニタ!$H$3-生体情報モニタ!$I$3)/生体情報モニタ!$H$3),0)</f>
        <v>0</v>
      </c>
      <c r="AC227" s="306">
        <f t="shared" si="55"/>
        <v>0</v>
      </c>
      <c r="AD227" s="305">
        <f>IFERROR(SUMIF(分娩監視装置!$C$30:$C$74,B227,分娩監視装置!$K$30:$K$74)*((分娩監視装置!$H$3-分娩監視装置!$I$3)/分娩監視装置!$H$3),0)</f>
        <v>0</v>
      </c>
      <c r="AE227" s="306">
        <f t="shared" si="70"/>
        <v>0</v>
      </c>
      <c r="AF227" s="305">
        <f>IFERROR(SUMIF(新生児モニタ!$C$30:$C$74,B227,新生児モニタ!$K$30:$K$74)*((新生児モニタ!$H$3-新生児モニタ!$I$3)/新生児モニタ!$H$3),0)</f>
        <v>0</v>
      </c>
      <c r="AG227" s="306">
        <f t="shared" si="71"/>
        <v>0</v>
      </c>
    </row>
    <row r="228" spans="2:33">
      <c r="B228" s="283" t="s">
        <v>1041</v>
      </c>
      <c r="C228" s="305">
        <f>IFERROR(SUMIF(初度設備!$C$30:$C$74,B228,初度設備!$K$30:$K$74)*((初度設備!$H$3-初度設備!$I$3)/初度設備!$H$3),0)</f>
        <v>0</v>
      </c>
      <c r="D228" s="306">
        <f t="shared" si="56"/>
        <v>0</v>
      </c>
      <c r="E228" s="305">
        <f>IFERROR(SUMIF(人工呼吸器!$C$30:$C$74,B228,人工呼吸器!$K$30:$K$74)*((人工呼吸器!$H$3-人工呼吸器!$I$3)/人工呼吸器!$H$3),0)</f>
        <v>0</v>
      </c>
      <c r="F228" s="306">
        <f t="shared" si="57"/>
        <v>0</v>
      </c>
      <c r="G228" s="306">
        <f t="shared" si="58"/>
        <v>0</v>
      </c>
      <c r="H228" s="306">
        <f t="shared" si="59"/>
        <v>0</v>
      </c>
      <c r="I228" s="305">
        <f>IFERROR(SUMIF(簡易陰圧装置!$C$30:$C$74,B228,簡易陰圧装置!$K$30:$K$74)*((簡易陰圧装置!$H$3-簡易陰圧装置!$I$3)/簡易陰圧装置!$H$3),0)</f>
        <v>0</v>
      </c>
      <c r="J228" s="306">
        <f t="shared" si="60"/>
        <v>0</v>
      </c>
      <c r="K228" s="305">
        <f>IFERROR(SUMIF(簡易ベッド!$C$30:$C$74,B228,簡易ベッド!$K$30:$K$74)*((簡易ベッド!$H$3-簡易ベッド!$I$3)/簡易ベッド!$H$3),0)</f>
        <v>0</v>
      </c>
      <c r="L228" s="306">
        <f t="shared" si="61"/>
        <v>0</v>
      </c>
      <c r="M228" s="305">
        <f>IFERROR(SUMIF(体外式膜型人工肺!$C$30:$C$74,B228,体外式膜型人工肺!$K$30:$K$74)*((体外式膜型人工肺!$H$3-体外式膜型人工肺!$I$3)/体外式膜型人工肺!$H$3),0)</f>
        <v>0</v>
      </c>
      <c r="N228" s="306">
        <f t="shared" si="62"/>
        <v>0</v>
      </c>
      <c r="O228" s="306">
        <f t="shared" si="63"/>
        <v>0</v>
      </c>
      <c r="P228" s="306">
        <f t="shared" si="64"/>
        <v>0</v>
      </c>
      <c r="Q228" s="305">
        <f>IFERROR(SUMIF(紫外線照射装置!$C$30:$C$74,B228,紫外線照射装置!$K$30:$K$74)*((紫外線照射装置!$H$3-紫外線照射装置!$I$3)/紫外線照射装置!$H$3),0)</f>
        <v>0</v>
      </c>
      <c r="R228" s="306">
        <f t="shared" si="65"/>
        <v>0</v>
      </c>
      <c r="S228" s="419">
        <f t="shared" si="66"/>
        <v>0</v>
      </c>
      <c r="T228" s="305">
        <f>IFERROR(SUMIF(超音波画像診断装置!$C$30:$C$74,B228,超音波画像診断装置!$K$30:$K$74)*((超音波画像診断装置!$H$3-超音波画像診断装置!$I$3)/超音波画像診断装置!$H$3),0)</f>
        <v>0</v>
      </c>
      <c r="U228" s="306">
        <f t="shared" si="67"/>
        <v>0</v>
      </c>
      <c r="V228" s="305">
        <f>IFERROR(SUMIF(血液浄化装置!$C$30:$C$74,B228,血液浄化装置!$K$30:$K$74)*((血液浄化装置!$H$3-血液浄化装置!$I$3)/血液浄化装置!$H$3),0)</f>
        <v>0</v>
      </c>
      <c r="W228" s="306">
        <f t="shared" si="68"/>
        <v>0</v>
      </c>
      <c r="X228" s="305">
        <f>IFERROR(SUMIF(気管支鏡!$C$30:$C$74,B228,気管支鏡!$K$30:$K$74)*((気管支鏡!$H$3-気管支鏡!$I$3)/気管支鏡!$H$3),0)</f>
        <v>0</v>
      </c>
      <c r="Y228" s="306">
        <f t="shared" si="54"/>
        <v>0</v>
      </c>
      <c r="Z228" s="305">
        <f>IFERROR(SUMIF(CT撮影装置!$C$30:$C$74,B228,CT撮影装置!$K$30:$K$74)*((CT撮影装置!$H$3-CT撮影装置!$I$3)/CT撮影装置!$H$3),0)</f>
        <v>0</v>
      </c>
      <c r="AA228" s="306">
        <f t="shared" si="69"/>
        <v>0</v>
      </c>
      <c r="AB228" s="305">
        <f>IFERROR(SUMIF(生体情報モニタ!$C$30:$C$74,B228,生体情報モニタ!$K$30:$K$74)*((生体情報モニタ!$H$3-生体情報モニタ!$I$3)/生体情報モニタ!$H$3),0)</f>
        <v>0</v>
      </c>
      <c r="AC228" s="306">
        <f t="shared" si="55"/>
        <v>0</v>
      </c>
      <c r="AD228" s="305">
        <f>IFERROR(SUMIF(分娩監視装置!$C$30:$C$74,B228,分娩監視装置!$K$30:$K$74)*((分娩監視装置!$H$3-分娩監視装置!$I$3)/分娩監視装置!$H$3),0)</f>
        <v>0</v>
      </c>
      <c r="AE228" s="306">
        <f t="shared" si="70"/>
        <v>0</v>
      </c>
      <c r="AF228" s="305">
        <f>IFERROR(SUMIF(新生児モニタ!$C$30:$C$74,B228,新生児モニタ!$K$30:$K$74)*((新生児モニタ!$H$3-新生児モニタ!$I$3)/新生児モニタ!$H$3),0)</f>
        <v>0</v>
      </c>
      <c r="AG228" s="306">
        <f t="shared" si="71"/>
        <v>0</v>
      </c>
    </row>
    <row r="229" spans="2:33">
      <c r="B229" s="283" t="s">
        <v>1042</v>
      </c>
      <c r="C229" s="305">
        <f>IFERROR(SUMIF(初度設備!$C$30:$C$74,B229,初度設備!$K$30:$K$74)*((初度設備!$H$3-初度設備!$I$3)/初度設備!$H$3),0)</f>
        <v>0</v>
      </c>
      <c r="D229" s="306">
        <f t="shared" si="56"/>
        <v>0</v>
      </c>
      <c r="E229" s="305">
        <f>IFERROR(SUMIF(人工呼吸器!$C$30:$C$74,B229,人工呼吸器!$K$30:$K$74)*((人工呼吸器!$H$3-人工呼吸器!$I$3)/人工呼吸器!$H$3),0)</f>
        <v>0</v>
      </c>
      <c r="F229" s="306">
        <f t="shared" si="57"/>
        <v>0</v>
      </c>
      <c r="G229" s="306">
        <f t="shared" si="58"/>
        <v>0</v>
      </c>
      <c r="H229" s="306">
        <f t="shared" si="59"/>
        <v>0</v>
      </c>
      <c r="I229" s="305">
        <f>IFERROR(SUMIF(簡易陰圧装置!$C$30:$C$74,B229,簡易陰圧装置!$K$30:$K$74)*((簡易陰圧装置!$H$3-簡易陰圧装置!$I$3)/簡易陰圧装置!$H$3),0)</f>
        <v>0</v>
      </c>
      <c r="J229" s="306">
        <f t="shared" si="60"/>
        <v>0</v>
      </c>
      <c r="K229" s="305">
        <f>IFERROR(SUMIF(簡易ベッド!$C$30:$C$74,B229,簡易ベッド!$K$30:$K$74)*((簡易ベッド!$H$3-簡易ベッド!$I$3)/簡易ベッド!$H$3),0)</f>
        <v>0</v>
      </c>
      <c r="L229" s="306">
        <f t="shared" si="61"/>
        <v>0</v>
      </c>
      <c r="M229" s="305">
        <f>IFERROR(SUMIF(体外式膜型人工肺!$C$30:$C$74,B229,体外式膜型人工肺!$K$30:$K$74)*((体外式膜型人工肺!$H$3-体外式膜型人工肺!$I$3)/体外式膜型人工肺!$H$3),0)</f>
        <v>0</v>
      </c>
      <c r="N229" s="306">
        <f t="shared" si="62"/>
        <v>0</v>
      </c>
      <c r="O229" s="306">
        <f t="shared" si="63"/>
        <v>0</v>
      </c>
      <c r="P229" s="306">
        <f t="shared" si="64"/>
        <v>0</v>
      </c>
      <c r="Q229" s="305">
        <f>IFERROR(SUMIF(紫外線照射装置!$C$30:$C$74,B229,紫外線照射装置!$K$30:$K$74)*((紫外線照射装置!$H$3-紫外線照射装置!$I$3)/紫外線照射装置!$H$3),0)</f>
        <v>0</v>
      </c>
      <c r="R229" s="306">
        <f t="shared" si="65"/>
        <v>0</v>
      </c>
      <c r="S229" s="419">
        <f t="shared" si="66"/>
        <v>0</v>
      </c>
      <c r="T229" s="305">
        <f>IFERROR(SUMIF(超音波画像診断装置!$C$30:$C$74,B229,超音波画像診断装置!$K$30:$K$74)*((超音波画像診断装置!$H$3-超音波画像診断装置!$I$3)/超音波画像診断装置!$H$3),0)</f>
        <v>0</v>
      </c>
      <c r="U229" s="306">
        <f t="shared" si="67"/>
        <v>0</v>
      </c>
      <c r="V229" s="305">
        <f>IFERROR(SUMIF(血液浄化装置!$C$30:$C$74,B229,血液浄化装置!$K$30:$K$74)*((血液浄化装置!$H$3-血液浄化装置!$I$3)/血液浄化装置!$H$3),0)</f>
        <v>0</v>
      </c>
      <c r="W229" s="306">
        <f t="shared" si="68"/>
        <v>0</v>
      </c>
      <c r="X229" s="305">
        <f>IFERROR(SUMIF(気管支鏡!$C$30:$C$74,B229,気管支鏡!$K$30:$K$74)*((気管支鏡!$H$3-気管支鏡!$I$3)/気管支鏡!$H$3),0)</f>
        <v>0</v>
      </c>
      <c r="Y229" s="306">
        <f t="shared" si="54"/>
        <v>0</v>
      </c>
      <c r="Z229" s="305">
        <f>IFERROR(SUMIF(CT撮影装置!$C$30:$C$74,B229,CT撮影装置!$K$30:$K$74)*((CT撮影装置!$H$3-CT撮影装置!$I$3)/CT撮影装置!$H$3),0)</f>
        <v>0</v>
      </c>
      <c r="AA229" s="306">
        <f t="shared" si="69"/>
        <v>0</v>
      </c>
      <c r="AB229" s="305">
        <f>IFERROR(SUMIF(生体情報モニタ!$C$30:$C$74,B229,生体情報モニタ!$K$30:$K$74)*((生体情報モニタ!$H$3-生体情報モニタ!$I$3)/生体情報モニタ!$H$3),0)</f>
        <v>0</v>
      </c>
      <c r="AC229" s="306">
        <f t="shared" si="55"/>
        <v>0</v>
      </c>
      <c r="AD229" s="305">
        <f>IFERROR(SUMIF(分娩監視装置!$C$30:$C$74,B229,分娩監視装置!$K$30:$K$74)*((分娩監視装置!$H$3-分娩監視装置!$I$3)/分娩監視装置!$H$3),0)</f>
        <v>0</v>
      </c>
      <c r="AE229" s="306">
        <f t="shared" si="70"/>
        <v>0</v>
      </c>
      <c r="AF229" s="305">
        <f>IFERROR(SUMIF(新生児モニタ!$C$30:$C$74,B229,新生児モニタ!$K$30:$K$74)*((新生児モニタ!$H$3-新生児モニタ!$I$3)/新生児モニタ!$H$3),0)</f>
        <v>0</v>
      </c>
      <c r="AG229" s="306">
        <f t="shared" si="71"/>
        <v>0</v>
      </c>
    </row>
    <row r="230" spans="2:33">
      <c r="B230" s="283" t="s">
        <v>1043</v>
      </c>
      <c r="C230" s="305">
        <f>IFERROR(SUMIF(初度設備!$C$30:$C$74,B230,初度設備!$K$30:$K$74)*((初度設備!$H$3-初度設備!$I$3)/初度設備!$H$3),0)</f>
        <v>0</v>
      </c>
      <c r="D230" s="306">
        <f t="shared" si="56"/>
        <v>0</v>
      </c>
      <c r="E230" s="305">
        <f>IFERROR(SUMIF(人工呼吸器!$C$30:$C$74,B230,人工呼吸器!$K$30:$K$74)*((人工呼吸器!$H$3-人工呼吸器!$I$3)/人工呼吸器!$H$3),0)</f>
        <v>0</v>
      </c>
      <c r="F230" s="306">
        <f t="shared" si="57"/>
        <v>0</v>
      </c>
      <c r="G230" s="306">
        <f t="shared" si="58"/>
        <v>0</v>
      </c>
      <c r="H230" s="306">
        <f t="shared" si="59"/>
        <v>0</v>
      </c>
      <c r="I230" s="305">
        <f>IFERROR(SUMIF(簡易陰圧装置!$C$30:$C$74,B230,簡易陰圧装置!$K$30:$K$74)*((簡易陰圧装置!$H$3-簡易陰圧装置!$I$3)/簡易陰圧装置!$H$3),0)</f>
        <v>0</v>
      </c>
      <c r="J230" s="306">
        <f t="shared" si="60"/>
        <v>0</v>
      </c>
      <c r="K230" s="305">
        <f>IFERROR(SUMIF(簡易ベッド!$C$30:$C$74,B230,簡易ベッド!$K$30:$K$74)*((簡易ベッド!$H$3-簡易ベッド!$I$3)/簡易ベッド!$H$3),0)</f>
        <v>0</v>
      </c>
      <c r="L230" s="306">
        <f t="shared" si="61"/>
        <v>0</v>
      </c>
      <c r="M230" s="305">
        <f>IFERROR(SUMIF(体外式膜型人工肺!$C$30:$C$74,B230,体外式膜型人工肺!$K$30:$K$74)*((体外式膜型人工肺!$H$3-体外式膜型人工肺!$I$3)/体外式膜型人工肺!$H$3),0)</f>
        <v>0</v>
      </c>
      <c r="N230" s="306">
        <f t="shared" si="62"/>
        <v>0</v>
      </c>
      <c r="O230" s="306">
        <f t="shared" si="63"/>
        <v>0</v>
      </c>
      <c r="P230" s="306">
        <f t="shared" si="64"/>
        <v>0</v>
      </c>
      <c r="Q230" s="305">
        <f>IFERROR(SUMIF(紫外線照射装置!$C$30:$C$74,B230,紫外線照射装置!$K$30:$K$74)*((紫外線照射装置!$H$3-紫外線照射装置!$I$3)/紫外線照射装置!$H$3),0)</f>
        <v>0</v>
      </c>
      <c r="R230" s="306">
        <f t="shared" si="65"/>
        <v>0</v>
      </c>
      <c r="S230" s="419">
        <f t="shared" si="66"/>
        <v>0</v>
      </c>
      <c r="T230" s="305">
        <f>IFERROR(SUMIF(超音波画像診断装置!$C$30:$C$74,B230,超音波画像診断装置!$K$30:$K$74)*((超音波画像診断装置!$H$3-超音波画像診断装置!$I$3)/超音波画像診断装置!$H$3),0)</f>
        <v>0</v>
      </c>
      <c r="U230" s="306">
        <f t="shared" si="67"/>
        <v>0</v>
      </c>
      <c r="V230" s="305">
        <f>IFERROR(SUMIF(血液浄化装置!$C$30:$C$74,B230,血液浄化装置!$K$30:$K$74)*((血液浄化装置!$H$3-血液浄化装置!$I$3)/血液浄化装置!$H$3),0)</f>
        <v>0</v>
      </c>
      <c r="W230" s="306">
        <f t="shared" si="68"/>
        <v>0</v>
      </c>
      <c r="X230" s="305">
        <f>IFERROR(SUMIF(気管支鏡!$C$30:$C$74,B230,気管支鏡!$K$30:$K$74)*((気管支鏡!$H$3-気管支鏡!$I$3)/気管支鏡!$H$3),0)</f>
        <v>0</v>
      </c>
      <c r="Y230" s="306">
        <f t="shared" si="54"/>
        <v>0</v>
      </c>
      <c r="Z230" s="305">
        <f>IFERROR(SUMIF(CT撮影装置!$C$30:$C$74,B230,CT撮影装置!$K$30:$K$74)*((CT撮影装置!$H$3-CT撮影装置!$I$3)/CT撮影装置!$H$3),0)</f>
        <v>0</v>
      </c>
      <c r="AA230" s="306">
        <f t="shared" si="69"/>
        <v>0</v>
      </c>
      <c r="AB230" s="305">
        <f>IFERROR(SUMIF(生体情報モニタ!$C$30:$C$74,B230,生体情報モニタ!$K$30:$K$74)*((生体情報モニタ!$H$3-生体情報モニタ!$I$3)/生体情報モニタ!$H$3),0)</f>
        <v>0</v>
      </c>
      <c r="AC230" s="306">
        <f t="shared" si="55"/>
        <v>0</v>
      </c>
      <c r="AD230" s="305">
        <f>IFERROR(SUMIF(分娩監視装置!$C$30:$C$74,B230,分娩監視装置!$K$30:$K$74)*((分娩監視装置!$H$3-分娩監視装置!$I$3)/分娩監視装置!$H$3),0)</f>
        <v>0</v>
      </c>
      <c r="AE230" s="306">
        <f t="shared" si="70"/>
        <v>0</v>
      </c>
      <c r="AF230" s="305">
        <f>IFERROR(SUMIF(新生児モニタ!$C$30:$C$74,B230,新生児モニタ!$K$30:$K$74)*((新生児モニタ!$H$3-新生児モニタ!$I$3)/新生児モニタ!$H$3),0)</f>
        <v>0</v>
      </c>
      <c r="AG230" s="306">
        <f t="shared" si="71"/>
        <v>0</v>
      </c>
    </row>
    <row r="231" spans="2:33">
      <c r="B231" s="283" t="s">
        <v>1044</v>
      </c>
      <c r="C231" s="305">
        <f>IFERROR(SUMIF(初度設備!$C$30:$C$74,B231,初度設備!$K$30:$K$74)*((初度設備!$H$3-初度設備!$I$3)/初度設備!$H$3),0)</f>
        <v>0</v>
      </c>
      <c r="D231" s="306">
        <f t="shared" si="56"/>
        <v>0</v>
      </c>
      <c r="E231" s="305">
        <f>IFERROR(SUMIF(人工呼吸器!$C$30:$C$74,B231,人工呼吸器!$K$30:$K$74)*((人工呼吸器!$H$3-人工呼吸器!$I$3)/人工呼吸器!$H$3),0)</f>
        <v>0</v>
      </c>
      <c r="F231" s="306">
        <f t="shared" si="57"/>
        <v>0</v>
      </c>
      <c r="G231" s="306">
        <f t="shared" si="58"/>
        <v>0</v>
      </c>
      <c r="H231" s="306">
        <f t="shared" si="59"/>
        <v>0</v>
      </c>
      <c r="I231" s="305">
        <f>IFERROR(SUMIF(簡易陰圧装置!$C$30:$C$74,B231,簡易陰圧装置!$K$30:$K$74)*((簡易陰圧装置!$H$3-簡易陰圧装置!$I$3)/簡易陰圧装置!$H$3),0)</f>
        <v>0</v>
      </c>
      <c r="J231" s="306">
        <f t="shared" si="60"/>
        <v>0</v>
      </c>
      <c r="K231" s="305">
        <f>IFERROR(SUMIF(簡易ベッド!$C$30:$C$74,B231,簡易ベッド!$K$30:$K$74)*((簡易ベッド!$H$3-簡易ベッド!$I$3)/簡易ベッド!$H$3),0)</f>
        <v>0</v>
      </c>
      <c r="L231" s="306">
        <f t="shared" si="61"/>
        <v>0</v>
      </c>
      <c r="M231" s="305">
        <f>IFERROR(SUMIF(体外式膜型人工肺!$C$30:$C$74,B231,体外式膜型人工肺!$K$30:$K$74)*((体外式膜型人工肺!$H$3-体外式膜型人工肺!$I$3)/体外式膜型人工肺!$H$3),0)</f>
        <v>0</v>
      </c>
      <c r="N231" s="306">
        <f t="shared" si="62"/>
        <v>0</v>
      </c>
      <c r="O231" s="306">
        <f t="shared" si="63"/>
        <v>0</v>
      </c>
      <c r="P231" s="306">
        <f t="shared" si="64"/>
        <v>0</v>
      </c>
      <c r="Q231" s="305">
        <f>IFERROR(SUMIF(紫外線照射装置!$C$30:$C$74,B231,紫外線照射装置!$K$30:$K$74)*((紫外線照射装置!$H$3-紫外線照射装置!$I$3)/紫外線照射装置!$H$3),0)</f>
        <v>0</v>
      </c>
      <c r="R231" s="306">
        <f t="shared" si="65"/>
        <v>0</v>
      </c>
      <c r="S231" s="419">
        <f t="shared" si="66"/>
        <v>0</v>
      </c>
      <c r="T231" s="305">
        <f>IFERROR(SUMIF(超音波画像診断装置!$C$30:$C$74,B231,超音波画像診断装置!$K$30:$K$74)*((超音波画像診断装置!$H$3-超音波画像診断装置!$I$3)/超音波画像診断装置!$H$3),0)</f>
        <v>0</v>
      </c>
      <c r="U231" s="306">
        <f t="shared" si="67"/>
        <v>0</v>
      </c>
      <c r="V231" s="305">
        <f>IFERROR(SUMIF(血液浄化装置!$C$30:$C$74,B231,血液浄化装置!$K$30:$K$74)*((血液浄化装置!$H$3-血液浄化装置!$I$3)/血液浄化装置!$H$3),0)</f>
        <v>0</v>
      </c>
      <c r="W231" s="306">
        <f t="shared" si="68"/>
        <v>0</v>
      </c>
      <c r="X231" s="305">
        <f>IFERROR(SUMIF(気管支鏡!$C$30:$C$74,B231,気管支鏡!$K$30:$K$74)*((気管支鏡!$H$3-気管支鏡!$I$3)/気管支鏡!$H$3),0)</f>
        <v>0</v>
      </c>
      <c r="Y231" s="306">
        <f t="shared" si="54"/>
        <v>0</v>
      </c>
      <c r="Z231" s="305">
        <f>IFERROR(SUMIF(CT撮影装置!$C$30:$C$74,B231,CT撮影装置!$K$30:$K$74)*((CT撮影装置!$H$3-CT撮影装置!$I$3)/CT撮影装置!$H$3),0)</f>
        <v>0</v>
      </c>
      <c r="AA231" s="306">
        <f t="shared" si="69"/>
        <v>0</v>
      </c>
      <c r="AB231" s="305">
        <f>IFERROR(SUMIF(生体情報モニタ!$C$30:$C$74,B231,生体情報モニタ!$K$30:$K$74)*((生体情報モニタ!$H$3-生体情報モニタ!$I$3)/生体情報モニタ!$H$3),0)</f>
        <v>0</v>
      </c>
      <c r="AC231" s="306">
        <f t="shared" si="55"/>
        <v>0</v>
      </c>
      <c r="AD231" s="305">
        <f>IFERROR(SUMIF(分娩監視装置!$C$30:$C$74,B231,分娩監視装置!$K$30:$K$74)*((分娩監視装置!$H$3-分娩監視装置!$I$3)/分娩監視装置!$H$3),0)</f>
        <v>0</v>
      </c>
      <c r="AE231" s="306">
        <f t="shared" si="70"/>
        <v>0</v>
      </c>
      <c r="AF231" s="305">
        <f>IFERROR(SUMIF(新生児モニタ!$C$30:$C$74,B231,新生児モニタ!$K$30:$K$74)*((新生児モニタ!$H$3-新生児モニタ!$I$3)/新生児モニタ!$H$3),0)</f>
        <v>0</v>
      </c>
      <c r="AG231" s="306">
        <f t="shared" si="71"/>
        <v>0</v>
      </c>
    </row>
    <row r="232" spans="2:33">
      <c r="B232" s="283" t="s">
        <v>1045</v>
      </c>
      <c r="C232" s="305">
        <f>IFERROR(SUMIF(初度設備!$C$30:$C$74,B232,初度設備!$K$30:$K$74)*((初度設備!$H$3-初度設備!$I$3)/初度設備!$H$3),0)</f>
        <v>0</v>
      </c>
      <c r="D232" s="306">
        <f t="shared" si="56"/>
        <v>0</v>
      </c>
      <c r="E232" s="305">
        <f>IFERROR(SUMIF(人工呼吸器!$C$30:$C$74,B232,人工呼吸器!$K$30:$K$74)*((人工呼吸器!$H$3-人工呼吸器!$I$3)/人工呼吸器!$H$3),0)</f>
        <v>0</v>
      </c>
      <c r="F232" s="306">
        <f t="shared" si="57"/>
        <v>0</v>
      </c>
      <c r="G232" s="306">
        <f t="shared" si="58"/>
        <v>0</v>
      </c>
      <c r="H232" s="306">
        <f t="shared" si="59"/>
        <v>0</v>
      </c>
      <c r="I232" s="305">
        <f>IFERROR(SUMIF(簡易陰圧装置!$C$30:$C$74,B232,簡易陰圧装置!$K$30:$K$74)*((簡易陰圧装置!$H$3-簡易陰圧装置!$I$3)/簡易陰圧装置!$H$3),0)</f>
        <v>0</v>
      </c>
      <c r="J232" s="306">
        <f t="shared" si="60"/>
        <v>0</v>
      </c>
      <c r="K232" s="305">
        <f>IFERROR(SUMIF(簡易ベッド!$C$30:$C$74,B232,簡易ベッド!$K$30:$K$74)*((簡易ベッド!$H$3-簡易ベッド!$I$3)/簡易ベッド!$H$3),0)</f>
        <v>0</v>
      </c>
      <c r="L232" s="306">
        <f t="shared" si="61"/>
        <v>0</v>
      </c>
      <c r="M232" s="305">
        <f>IFERROR(SUMIF(体外式膜型人工肺!$C$30:$C$74,B232,体外式膜型人工肺!$K$30:$K$74)*((体外式膜型人工肺!$H$3-体外式膜型人工肺!$I$3)/体外式膜型人工肺!$H$3),0)</f>
        <v>0</v>
      </c>
      <c r="N232" s="306">
        <f t="shared" si="62"/>
        <v>0</v>
      </c>
      <c r="O232" s="306">
        <f t="shared" si="63"/>
        <v>0</v>
      </c>
      <c r="P232" s="306">
        <f t="shared" si="64"/>
        <v>0</v>
      </c>
      <c r="Q232" s="305">
        <f>IFERROR(SUMIF(紫外線照射装置!$C$30:$C$74,B232,紫外線照射装置!$K$30:$K$74)*((紫外線照射装置!$H$3-紫外線照射装置!$I$3)/紫外線照射装置!$H$3),0)</f>
        <v>0</v>
      </c>
      <c r="R232" s="306">
        <f t="shared" si="65"/>
        <v>0</v>
      </c>
      <c r="S232" s="419">
        <f t="shared" si="66"/>
        <v>0</v>
      </c>
      <c r="T232" s="305">
        <f>IFERROR(SUMIF(超音波画像診断装置!$C$30:$C$74,B232,超音波画像診断装置!$K$30:$K$74)*((超音波画像診断装置!$H$3-超音波画像診断装置!$I$3)/超音波画像診断装置!$H$3),0)</f>
        <v>0</v>
      </c>
      <c r="U232" s="306">
        <f t="shared" si="67"/>
        <v>0</v>
      </c>
      <c r="V232" s="305">
        <f>IFERROR(SUMIF(血液浄化装置!$C$30:$C$74,B232,血液浄化装置!$K$30:$K$74)*((血液浄化装置!$H$3-血液浄化装置!$I$3)/血液浄化装置!$H$3),0)</f>
        <v>0</v>
      </c>
      <c r="W232" s="306">
        <f t="shared" si="68"/>
        <v>0</v>
      </c>
      <c r="X232" s="305">
        <f>IFERROR(SUMIF(気管支鏡!$C$30:$C$74,B232,気管支鏡!$K$30:$K$74)*((気管支鏡!$H$3-気管支鏡!$I$3)/気管支鏡!$H$3),0)</f>
        <v>0</v>
      </c>
      <c r="Y232" s="306">
        <f t="shared" si="54"/>
        <v>0</v>
      </c>
      <c r="Z232" s="305">
        <f>IFERROR(SUMIF(CT撮影装置!$C$30:$C$74,B232,CT撮影装置!$K$30:$K$74)*((CT撮影装置!$H$3-CT撮影装置!$I$3)/CT撮影装置!$H$3),0)</f>
        <v>0</v>
      </c>
      <c r="AA232" s="306">
        <f t="shared" si="69"/>
        <v>0</v>
      </c>
      <c r="AB232" s="305">
        <f>IFERROR(SUMIF(生体情報モニタ!$C$30:$C$74,B232,生体情報モニタ!$K$30:$K$74)*((生体情報モニタ!$H$3-生体情報モニタ!$I$3)/生体情報モニタ!$H$3),0)</f>
        <v>0</v>
      </c>
      <c r="AC232" s="306">
        <f t="shared" si="55"/>
        <v>0</v>
      </c>
      <c r="AD232" s="305">
        <f>IFERROR(SUMIF(分娩監視装置!$C$30:$C$74,B232,分娩監視装置!$K$30:$K$74)*((分娩監視装置!$H$3-分娩監視装置!$I$3)/分娩監視装置!$H$3),0)</f>
        <v>0</v>
      </c>
      <c r="AE232" s="306">
        <f t="shared" si="70"/>
        <v>0</v>
      </c>
      <c r="AF232" s="305">
        <f>IFERROR(SUMIF(新生児モニタ!$C$30:$C$74,B232,新生児モニタ!$K$30:$K$74)*((新生児モニタ!$H$3-新生児モニタ!$I$3)/新生児モニタ!$H$3),0)</f>
        <v>0</v>
      </c>
      <c r="AG232" s="306">
        <f t="shared" si="71"/>
        <v>0</v>
      </c>
    </row>
    <row r="233" spans="2:33">
      <c r="B233" s="283" t="s">
        <v>1046</v>
      </c>
      <c r="C233" s="305">
        <f>IFERROR(SUMIF(初度設備!$C$30:$C$74,B233,初度設備!$K$30:$K$74)*((初度設備!$H$3-初度設備!$I$3)/初度設備!$H$3),0)</f>
        <v>0</v>
      </c>
      <c r="D233" s="306">
        <f t="shared" si="56"/>
        <v>0</v>
      </c>
      <c r="E233" s="305">
        <f>IFERROR(SUMIF(人工呼吸器!$C$30:$C$74,B233,人工呼吸器!$K$30:$K$74)*((人工呼吸器!$H$3-人工呼吸器!$I$3)/人工呼吸器!$H$3),0)</f>
        <v>0</v>
      </c>
      <c r="F233" s="306">
        <f t="shared" si="57"/>
        <v>0</v>
      </c>
      <c r="G233" s="306">
        <f t="shared" si="58"/>
        <v>0</v>
      </c>
      <c r="H233" s="306">
        <f t="shared" si="59"/>
        <v>0</v>
      </c>
      <c r="I233" s="305">
        <f>IFERROR(SUMIF(簡易陰圧装置!$C$30:$C$74,B233,簡易陰圧装置!$K$30:$K$74)*((簡易陰圧装置!$H$3-簡易陰圧装置!$I$3)/簡易陰圧装置!$H$3),0)</f>
        <v>0</v>
      </c>
      <c r="J233" s="306">
        <f t="shared" si="60"/>
        <v>0</v>
      </c>
      <c r="K233" s="305">
        <f>IFERROR(SUMIF(簡易ベッド!$C$30:$C$74,B233,簡易ベッド!$K$30:$K$74)*((簡易ベッド!$H$3-簡易ベッド!$I$3)/簡易ベッド!$H$3),0)</f>
        <v>0</v>
      </c>
      <c r="L233" s="306">
        <f t="shared" si="61"/>
        <v>0</v>
      </c>
      <c r="M233" s="305">
        <f>IFERROR(SUMIF(体外式膜型人工肺!$C$30:$C$74,B233,体外式膜型人工肺!$K$30:$K$74)*((体外式膜型人工肺!$H$3-体外式膜型人工肺!$I$3)/体外式膜型人工肺!$H$3),0)</f>
        <v>0</v>
      </c>
      <c r="N233" s="306">
        <f t="shared" si="62"/>
        <v>0</v>
      </c>
      <c r="O233" s="306">
        <f t="shared" si="63"/>
        <v>0</v>
      </c>
      <c r="P233" s="306">
        <f t="shared" si="64"/>
        <v>0</v>
      </c>
      <c r="Q233" s="305">
        <f>IFERROR(SUMIF(紫外線照射装置!$C$30:$C$74,B233,紫外線照射装置!$K$30:$K$74)*((紫外線照射装置!$H$3-紫外線照射装置!$I$3)/紫外線照射装置!$H$3),0)</f>
        <v>0</v>
      </c>
      <c r="R233" s="306">
        <f t="shared" si="65"/>
        <v>0</v>
      </c>
      <c r="S233" s="419">
        <f t="shared" si="66"/>
        <v>0</v>
      </c>
      <c r="T233" s="305">
        <f>IFERROR(SUMIF(超音波画像診断装置!$C$30:$C$74,B233,超音波画像診断装置!$K$30:$K$74)*((超音波画像診断装置!$H$3-超音波画像診断装置!$I$3)/超音波画像診断装置!$H$3),0)</f>
        <v>0</v>
      </c>
      <c r="U233" s="306">
        <f t="shared" si="67"/>
        <v>0</v>
      </c>
      <c r="V233" s="305">
        <f>IFERROR(SUMIF(血液浄化装置!$C$30:$C$74,B233,血液浄化装置!$K$30:$K$74)*((血液浄化装置!$H$3-血液浄化装置!$I$3)/血液浄化装置!$H$3),0)</f>
        <v>0</v>
      </c>
      <c r="W233" s="306">
        <f t="shared" si="68"/>
        <v>0</v>
      </c>
      <c r="X233" s="305">
        <f>IFERROR(SUMIF(気管支鏡!$C$30:$C$74,B233,気管支鏡!$K$30:$K$74)*((気管支鏡!$H$3-気管支鏡!$I$3)/気管支鏡!$H$3),0)</f>
        <v>0</v>
      </c>
      <c r="Y233" s="306">
        <f t="shared" si="54"/>
        <v>0</v>
      </c>
      <c r="Z233" s="305">
        <f>IFERROR(SUMIF(CT撮影装置!$C$30:$C$74,B233,CT撮影装置!$K$30:$K$74)*((CT撮影装置!$H$3-CT撮影装置!$I$3)/CT撮影装置!$H$3),0)</f>
        <v>0</v>
      </c>
      <c r="AA233" s="306">
        <f t="shared" si="69"/>
        <v>0</v>
      </c>
      <c r="AB233" s="305">
        <f>IFERROR(SUMIF(生体情報モニタ!$C$30:$C$74,B233,生体情報モニタ!$K$30:$K$74)*((生体情報モニタ!$H$3-生体情報モニタ!$I$3)/生体情報モニタ!$H$3),0)</f>
        <v>0</v>
      </c>
      <c r="AC233" s="306">
        <f t="shared" si="55"/>
        <v>0</v>
      </c>
      <c r="AD233" s="305">
        <f>IFERROR(SUMIF(分娩監視装置!$C$30:$C$74,B233,分娩監視装置!$K$30:$K$74)*((分娩監視装置!$H$3-分娩監視装置!$I$3)/分娩監視装置!$H$3),0)</f>
        <v>0</v>
      </c>
      <c r="AE233" s="306">
        <f t="shared" si="70"/>
        <v>0</v>
      </c>
      <c r="AF233" s="305">
        <f>IFERROR(SUMIF(新生児モニタ!$C$30:$C$74,B233,新生児モニタ!$K$30:$K$74)*((新生児モニタ!$H$3-新生児モニタ!$I$3)/新生児モニタ!$H$3),0)</f>
        <v>0</v>
      </c>
      <c r="AG233" s="306">
        <f t="shared" si="71"/>
        <v>0</v>
      </c>
    </row>
    <row r="234" spans="2:33">
      <c r="B234" s="283" t="s">
        <v>1047</v>
      </c>
      <c r="C234" s="305">
        <f>IFERROR(SUMIF(初度設備!$C$30:$C$74,B234,初度設備!$K$30:$K$74)*((初度設備!$H$3-初度設備!$I$3)/初度設備!$H$3),0)</f>
        <v>0</v>
      </c>
      <c r="D234" s="306">
        <f t="shared" si="56"/>
        <v>0</v>
      </c>
      <c r="E234" s="305">
        <f>IFERROR(SUMIF(人工呼吸器!$C$30:$C$74,B234,人工呼吸器!$K$30:$K$74)*((人工呼吸器!$H$3-人工呼吸器!$I$3)/人工呼吸器!$H$3),0)</f>
        <v>0</v>
      </c>
      <c r="F234" s="306">
        <f t="shared" si="57"/>
        <v>0</v>
      </c>
      <c r="G234" s="306">
        <f t="shared" si="58"/>
        <v>0</v>
      </c>
      <c r="H234" s="306">
        <f t="shared" si="59"/>
        <v>0</v>
      </c>
      <c r="I234" s="305">
        <f>IFERROR(SUMIF(簡易陰圧装置!$C$30:$C$74,B234,簡易陰圧装置!$K$30:$K$74)*((簡易陰圧装置!$H$3-簡易陰圧装置!$I$3)/簡易陰圧装置!$H$3),0)</f>
        <v>0</v>
      </c>
      <c r="J234" s="306">
        <f t="shared" si="60"/>
        <v>0</v>
      </c>
      <c r="K234" s="305">
        <f>IFERROR(SUMIF(簡易ベッド!$C$30:$C$74,B234,簡易ベッド!$K$30:$K$74)*((簡易ベッド!$H$3-簡易ベッド!$I$3)/簡易ベッド!$H$3),0)</f>
        <v>0</v>
      </c>
      <c r="L234" s="306">
        <f t="shared" si="61"/>
        <v>0</v>
      </c>
      <c r="M234" s="305">
        <f>IFERROR(SUMIF(体外式膜型人工肺!$C$30:$C$74,B234,体外式膜型人工肺!$K$30:$K$74)*((体外式膜型人工肺!$H$3-体外式膜型人工肺!$I$3)/体外式膜型人工肺!$H$3),0)</f>
        <v>0</v>
      </c>
      <c r="N234" s="306">
        <f t="shared" si="62"/>
        <v>0</v>
      </c>
      <c r="O234" s="306">
        <f t="shared" si="63"/>
        <v>0</v>
      </c>
      <c r="P234" s="306">
        <f t="shared" si="64"/>
        <v>0</v>
      </c>
      <c r="Q234" s="305">
        <f>IFERROR(SUMIF(紫外線照射装置!$C$30:$C$74,B234,紫外線照射装置!$K$30:$K$74)*((紫外線照射装置!$H$3-紫外線照射装置!$I$3)/紫外線照射装置!$H$3),0)</f>
        <v>0</v>
      </c>
      <c r="R234" s="306">
        <f t="shared" si="65"/>
        <v>0</v>
      </c>
      <c r="S234" s="419">
        <f t="shared" si="66"/>
        <v>0</v>
      </c>
      <c r="T234" s="305">
        <f>IFERROR(SUMIF(超音波画像診断装置!$C$30:$C$74,B234,超音波画像診断装置!$K$30:$K$74)*((超音波画像診断装置!$H$3-超音波画像診断装置!$I$3)/超音波画像診断装置!$H$3),0)</f>
        <v>0</v>
      </c>
      <c r="U234" s="306">
        <f t="shared" si="67"/>
        <v>0</v>
      </c>
      <c r="V234" s="305">
        <f>IFERROR(SUMIF(血液浄化装置!$C$30:$C$74,B234,血液浄化装置!$K$30:$K$74)*((血液浄化装置!$H$3-血液浄化装置!$I$3)/血液浄化装置!$H$3),0)</f>
        <v>0</v>
      </c>
      <c r="W234" s="306">
        <f t="shared" si="68"/>
        <v>0</v>
      </c>
      <c r="X234" s="305">
        <f>IFERROR(SUMIF(気管支鏡!$C$30:$C$74,B234,気管支鏡!$K$30:$K$74)*((気管支鏡!$H$3-気管支鏡!$I$3)/気管支鏡!$H$3),0)</f>
        <v>0</v>
      </c>
      <c r="Y234" s="306">
        <f t="shared" si="54"/>
        <v>0</v>
      </c>
      <c r="Z234" s="305">
        <f>IFERROR(SUMIF(CT撮影装置!$C$30:$C$74,B234,CT撮影装置!$K$30:$K$74)*((CT撮影装置!$H$3-CT撮影装置!$I$3)/CT撮影装置!$H$3),0)</f>
        <v>0</v>
      </c>
      <c r="AA234" s="306">
        <f t="shared" si="69"/>
        <v>0</v>
      </c>
      <c r="AB234" s="305">
        <f>IFERROR(SUMIF(生体情報モニタ!$C$30:$C$74,B234,生体情報モニタ!$K$30:$K$74)*((生体情報モニタ!$H$3-生体情報モニタ!$I$3)/生体情報モニタ!$H$3),0)</f>
        <v>0</v>
      </c>
      <c r="AC234" s="306">
        <f t="shared" si="55"/>
        <v>0</v>
      </c>
      <c r="AD234" s="305">
        <f>IFERROR(SUMIF(分娩監視装置!$C$30:$C$74,B234,分娩監視装置!$K$30:$K$74)*((分娩監視装置!$H$3-分娩監視装置!$I$3)/分娩監視装置!$H$3),0)</f>
        <v>0</v>
      </c>
      <c r="AE234" s="306">
        <f t="shared" si="70"/>
        <v>0</v>
      </c>
      <c r="AF234" s="305">
        <f>IFERROR(SUMIF(新生児モニタ!$C$30:$C$74,B234,新生児モニタ!$K$30:$K$74)*((新生児モニタ!$H$3-新生児モニタ!$I$3)/新生児モニタ!$H$3),0)</f>
        <v>0</v>
      </c>
      <c r="AG234" s="306">
        <f t="shared" si="71"/>
        <v>0</v>
      </c>
    </row>
    <row r="235" spans="2:33">
      <c r="B235" s="283" t="s">
        <v>1048</v>
      </c>
      <c r="C235" s="305">
        <f>IFERROR(SUMIF(初度設備!$C$30:$C$74,B235,初度設備!$K$30:$K$74)*((初度設備!$H$3-初度設備!$I$3)/初度設備!$H$3),0)</f>
        <v>0</v>
      </c>
      <c r="D235" s="306">
        <f t="shared" si="56"/>
        <v>0</v>
      </c>
      <c r="E235" s="305">
        <f>IFERROR(SUMIF(人工呼吸器!$C$30:$C$74,B235,人工呼吸器!$K$30:$K$74)*((人工呼吸器!$H$3-人工呼吸器!$I$3)/人工呼吸器!$H$3),0)</f>
        <v>0</v>
      </c>
      <c r="F235" s="306">
        <f t="shared" si="57"/>
        <v>0</v>
      </c>
      <c r="G235" s="306">
        <f t="shared" si="58"/>
        <v>0</v>
      </c>
      <c r="H235" s="306">
        <f t="shared" si="59"/>
        <v>0</v>
      </c>
      <c r="I235" s="305">
        <f>IFERROR(SUMIF(簡易陰圧装置!$C$30:$C$74,B235,簡易陰圧装置!$K$30:$K$74)*((簡易陰圧装置!$H$3-簡易陰圧装置!$I$3)/簡易陰圧装置!$H$3),0)</f>
        <v>0</v>
      </c>
      <c r="J235" s="306">
        <f t="shared" si="60"/>
        <v>0</v>
      </c>
      <c r="K235" s="305">
        <f>IFERROR(SUMIF(簡易ベッド!$C$30:$C$74,B235,簡易ベッド!$K$30:$K$74)*((簡易ベッド!$H$3-簡易ベッド!$I$3)/簡易ベッド!$H$3),0)</f>
        <v>0</v>
      </c>
      <c r="L235" s="306">
        <f t="shared" si="61"/>
        <v>0</v>
      </c>
      <c r="M235" s="305">
        <f>IFERROR(SUMIF(体外式膜型人工肺!$C$30:$C$74,B235,体外式膜型人工肺!$K$30:$K$74)*((体外式膜型人工肺!$H$3-体外式膜型人工肺!$I$3)/体外式膜型人工肺!$H$3),0)</f>
        <v>0</v>
      </c>
      <c r="N235" s="306">
        <f t="shared" si="62"/>
        <v>0</v>
      </c>
      <c r="O235" s="306">
        <f t="shared" si="63"/>
        <v>0</v>
      </c>
      <c r="P235" s="306">
        <f t="shared" si="64"/>
        <v>0</v>
      </c>
      <c r="Q235" s="305">
        <f>IFERROR(SUMIF(紫外線照射装置!$C$30:$C$74,B235,紫外線照射装置!$K$30:$K$74)*((紫外線照射装置!$H$3-紫外線照射装置!$I$3)/紫外線照射装置!$H$3),0)</f>
        <v>0</v>
      </c>
      <c r="R235" s="306">
        <f t="shared" si="65"/>
        <v>0</v>
      </c>
      <c r="S235" s="419">
        <f t="shared" si="66"/>
        <v>0</v>
      </c>
      <c r="T235" s="305">
        <f>IFERROR(SUMIF(超音波画像診断装置!$C$30:$C$74,B235,超音波画像診断装置!$K$30:$K$74)*((超音波画像診断装置!$H$3-超音波画像診断装置!$I$3)/超音波画像診断装置!$H$3),0)</f>
        <v>0</v>
      </c>
      <c r="U235" s="306">
        <f t="shared" si="67"/>
        <v>0</v>
      </c>
      <c r="V235" s="305">
        <f>IFERROR(SUMIF(血液浄化装置!$C$30:$C$74,B235,血液浄化装置!$K$30:$K$74)*((血液浄化装置!$H$3-血液浄化装置!$I$3)/血液浄化装置!$H$3),0)</f>
        <v>0</v>
      </c>
      <c r="W235" s="306">
        <f t="shared" si="68"/>
        <v>0</v>
      </c>
      <c r="X235" s="305">
        <f>IFERROR(SUMIF(気管支鏡!$C$30:$C$74,B235,気管支鏡!$K$30:$K$74)*((気管支鏡!$H$3-気管支鏡!$I$3)/気管支鏡!$H$3),0)</f>
        <v>0</v>
      </c>
      <c r="Y235" s="306">
        <f t="shared" si="54"/>
        <v>0</v>
      </c>
      <c r="Z235" s="305">
        <f>IFERROR(SUMIF(CT撮影装置!$C$30:$C$74,B235,CT撮影装置!$K$30:$K$74)*((CT撮影装置!$H$3-CT撮影装置!$I$3)/CT撮影装置!$H$3),0)</f>
        <v>0</v>
      </c>
      <c r="AA235" s="306">
        <f t="shared" si="69"/>
        <v>0</v>
      </c>
      <c r="AB235" s="305">
        <f>IFERROR(SUMIF(生体情報モニタ!$C$30:$C$74,B235,生体情報モニタ!$K$30:$K$74)*((生体情報モニタ!$H$3-生体情報モニタ!$I$3)/生体情報モニタ!$H$3),0)</f>
        <v>0</v>
      </c>
      <c r="AC235" s="306">
        <f t="shared" si="55"/>
        <v>0</v>
      </c>
      <c r="AD235" s="305">
        <f>IFERROR(SUMIF(分娩監視装置!$C$30:$C$74,B235,分娩監視装置!$K$30:$K$74)*((分娩監視装置!$H$3-分娩監視装置!$I$3)/分娩監視装置!$H$3),0)</f>
        <v>0</v>
      </c>
      <c r="AE235" s="306">
        <f t="shared" si="70"/>
        <v>0</v>
      </c>
      <c r="AF235" s="305">
        <f>IFERROR(SUMIF(新生児モニタ!$C$30:$C$74,B235,新生児モニタ!$K$30:$K$74)*((新生児モニタ!$H$3-新生児モニタ!$I$3)/新生児モニタ!$H$3),0)</f>
        <v>0</v>
      </c>
      <c r="AG235" s="306">
        <f t="shared" si="71"/>
        <v>0</v>
      </c>
    </row>
    <row r="236" spans="2:33">
      <c r="B236" s="283" t="s">
        <v>1049</v>
      </c>
      <c r="C236" s="305">
        <f>IFERROR(SUMIF(初度設備!$C$30:$C$74,B236,初度設備!$K$30:$K$74)*((初度設備!$H$3-初度設備!$I$3)/初度設備!$H$3),0)</f>
        <v>0</v>
      </c>
      <c r="D236" s="306">
        <f t="shared" si="56"/>
        <v>0</v>
      </c>
      <c r="E236" s="305">
        <f>IFERROR(SUMIF(人工呼吸器!$C$30:$C$74,B236,人工呼吸器!$K$30:$K$74)*((人工呼吸器!$H$3-人工呼吸器!$I$3)/人工呼吸器!$H$3),0)</f>
        <v>0</v>
      </c>
      <c r="F236" s="306">
        <f t="shared" si="57"/>
        <v>0</v>
      </c>
      <c r="G236" s="306">
        <f t="shared" si="58"/>
        <v>0</v>
      </c>
      <c r="H236" s="306">
        <f t="shared" si="59"/>
        <v>0</v>
      </c>
      <c r="I236" s="305">
        <f>IFERROR(SUMIF(簡易陰圧装置!$C$30:$C$74,B236,簡易陰圧装置!$K$30:$K$74)*((簡易陰圧装置!$H$3-簡易陰圧装置!$I$3)/簡易陰圧装置!$H$3),0)</f>
        <v>0</v>
      </c>
      <c r="J236" s="306">
        <f t="shared" si="60"/>
        <v>0</v>
      </c>
      <c r="K236" s="305">
        <f>IFERROR(SUMIF(簡易ベッド!$C$30:$C$74,B236,簡易ベッド!$K$30:$K$74)*((簡易ベッド!$H$3-簡易ベッド!$I$3)/簡易ベッド!$H$3),0)</f>
        <v>0</v>
      </c>
      <c r="L236" s="306">
        <f t="shared" si="61"/>
        <v>0</v>
      </c>
      <c r="M236" s="305">
        <f>IFERROR(SUMIF(体外式膜型人工肺!$C$30:$C$74,B236,体外式膜型人工肺!$K$30:$K$74)*((体外式膜型人工肺!$H$3-体外式膜型人工肺!$I$3)/体外式膜型人工肺!$H$3),0)</f>
        <v>0</v>
      </c>
      <c r="N236" s="306">
        <f t="shared" si="62"/>
        <v>0</v>
      </c>
      <c r="O236" s="306">
        <f t="shared" si="63"/>
        <v>0</v>
      </c>
      <c r="P236" s="306">
        <f t="shared" si="64"/>
        <v>0</v>
      </c>
      <c r="Q236" s="305">
        <f>IFERROR(SUMIF(紫外線照射装置!$C$30:$C$74,B236,紫外線照射装置!$K$30:$K$74)*((紫外線照射装置!$H$3-紫外線照射装置!$I$3)/紫外線照射装置!$H$3),0)</f>
        <v>0</v>
      </c>
      <c r="R236" s="306">
        <f t="shared" si="65"/>
        <v>0</v>
      </c>
      <c r="S236" s="419">
        <f t="shared" si="66"/>
        <v>0</v>
      </c>
      <c r="T236" s="305">
        <f>IFERROR(SUMIF(超音波画像診断装置!$C$30:$C$74,B236,超音波画像診断装置!$K$30:$K$74)*((超音波画像診断装置!$H$3-超音波画像診断装置!$I$3)/超音波画像診断装置!$H$3),0)</f>
        <v>0</v>
      </c>
      <c r="U236" s="306">
        <f t="shared" si="67"/>
        <v>0</v>
      </c>
      <c r="V236" s="305">
        <f>IFERROR(SUMIF(血液浄化装置!$C$30:$C$74,B236,血液浄化装置!$K$30:$K$74)*((血液浄化装置!$H$3-血液浄化装置!$I$3)/血液浄化装置!$H$3),0)</f>
        <v>0</v>
      </c>
      <c r="W236" s="306">
        <f t="shared" si="68"/>
        <v>0</v>
      </c>
      <c r="X236" s="305">
        <f>IFERROR(SUMIF(気管支鏡!$C$30:$C$74,B236,気管支鏡!$K$30:$K$74)*((気管支鏡!$H$3-気管支鏡!$I$3)/気管支鏡!$H$3),0)</f>
        <v>0</v>
      </c>
      <c r="Y236" s="306">
        <f t="shared" si="54"/>
        <v>0</v>
      </c>
      <c r="Z236" s="305">
        <f>IFERROR(SUMIF(CT撮影装置!$C$30:$C$74,B236,CT撮影装置!$K$30:$K$74)*((CT撮影装置!$H$3-CT撮影装置!$I$3)/CT撮影装置!$H$3),0)</f>
        <v>0</v>
      </c>
      <c r="AA236" s="306">
        <f t="shared" si="69"/>
        <v>0</v>
      </c>
      <c r="AB236" s="305">
        <f>IFERROR(SUMIF(生体情報モニタ!$C$30:$C$74,B236,生体情報モニタ!$K$30:$K$74)*((生体情報モニタ!$H$3-生体情報モニタ!$I$3)/生体情報モニタ!$H$3),0)</f>
        <v>0</v>
      </c>
      <c r="AC236" s="306">
        <f t="shared" si="55"/>
        <v>0</v>
      </c>
      <c r="AD236" s="305">
        <f>IFERROR(SUMIF(分娩監視装置!$C$30:$C$74,B236,分娩監視装置!$K$30:$K$74)*((分娩監視装置!$H$3-分娩監視装置!$I$3)/分娩監視装置!$H$3),0)</f>
        <v>0</v>
      </c>
      <c r="AE236" s="306">
        <f t="shared" si="70"/>
        <v>0</v>
      </c>
      <c r="AF236" s="305">
        <f>IFERROR(SUMIF(新生児モニタ!$C$30:$C$74,B236,新生児モニタ!$K$30:$K$74)*((新生児モニタ!$H$3-新生児モニタ!$I$3)/新生児モニタ!$H$3),0)</f>
        <v>0</v>
      </c>
      <c r="AG236" s="306">
        <f t="shared" si="71"/>
        <v>0</v>
      </c>
    </row>
    <row r="237" spans="2:33">
      <c r="B237" s="283" t="s">
        <v>1050</v>
      </c>
      <c r="C237" s="305">
        <f>IFERROR(SUMIF(初度設備!$C$30:$C$74,B237,初度設備!$K$30:$K$74)*((初度設備!$H$3-初度設備!$I$3)/初度設備!$H$3),0)</f>
        <v>0</v>
      </c>
      <c r="D237" s="306">
        <f t="shared" si="56"/>
        <v>0</v>
      </c>
      <c r="E237" s="305">
        <f>IFERROR(SUMIF(人工呼吸器!$C$30:$C$74,B237,人工呼吸器!$K$30:$K$74)*((人工呼吸器!$H$3-人工呼吸器!$I$3)/人工呼吸器!$H$3),0)</f>
        <v>0</v>
      </c>
      <c r="F237" s="306">
        <f t="shared" si="57"/>
        <v>0</v>
      </c>
      <c r="G237" s="306">
        <f t="shared" si="58"/>
        <v>0</v>
      </c>
      <c r="H237" s="306">
        <f t="shared" si="59"/>
        <v>0</v>
      </c>
      <c r="I237" s="305">
        <f>IFERROR(SUMIF(簡易陰圧装置!$C$30:$C$74,B237,簡易陰圧装置!$K$30:$K$74)*((簡易陰圧装置!$H$3-簡易陰圧装置!$I$3)/簡易陰圧装置!$H$3),0)</f>
        <v>0</v>
      </c>
      <c r="J237" s="306">
        <f t="shared" si="60"/>
        <v>0</v>
      </c>
      <c r="K237" s="305">
        <f>IFERROR(SUMIF(簡易ベッド!$C$30:$C$74,B237,簡易ベッド!$K$30:$K$74)*((簡易ベッド!$H$3-簡易ベッド!$I$3)/簡易ベッド!$H$3),0)</f>
        <v>0</v>
      </c>
      <c r="L237" s="306">
        <f t="shared" si="61"/>
        <v>0</v>
      </c>
      <c r="M237" s="305">
        <f>IFERROR(SUMIF(体外式膜型人工肺!$C$30:$C$74,B237,体外式膜型人工肺!$K$30:$K$74)*((体外式膜型人工肺!$H$3-体外式膜型人工肺!$I$3)/体外式膜型人工肺!$H$3),0)</f>
        <v>0</v>
      </c>
      <c r="N237" s="306">
        <f t="shared" si="62"/>
        <v>0</v>
      </c>
      <c r="O237" s="306">
        <f t="shared" si="63"/>
        <v>0</v>
      </c>
      <c r="P237" s="306">
        <f t="shared" si="64"/>
        <v>0</v>
      </c>
      <c r="Q237" s="305">
        <f>IFERROR(SUMIF(紫外線照射装置!$C$30:$C$74,B237,紫外線照射装置!$K$30:$K$74)*((紫外線照射装置!$H$3-紫外線照射装置!$I$3)/紫外線照射装置!$H$3),0)</f>
        <v>0</v>
      </c>
      <c r="R237" s="306">
        <f t="shared" si="65"/>
        <v>0</v>
      </c>
      <c r="S237" s="419">
        <f t="shared" si="66"/>
        <v>0</v>
      </c>
      <c r="T237" s="305">
        <f>IFERROR(SUMIF(超音波画像診断装置!$C$30:$C$74,B237,超音波画像診断装置!$K$30:$K$74)*((超音波画像診断装置!$H$3-超音波画像診断装置!$I$3)/超音波画像診断装置!$H$3),0)</f>
        <v>0</v>
      </c>
      <c r="U237" s="306">
        <f t="shared" si="67"/>
        <v>0</v>
      </c>
      <c r="V237" s="305">
        <f>IFERROR(SUMIF(血液浄化装置!$C$30:$C$74,B237,血液浄化装置!$K$30:$K$74)*((血液浄化装置!$H$3-血液浄化装置!$I$3)/血液浄化装置!$H$3),0)</f>
        <v>0</v>
      </c>
      <c r="W237" s="306">
        <f t="shared" si="68"/>
        <v>0</v>
      </c>
      <c r="X237" s="305">
        <f>IFERROR(SUMIF(気管支鏡!$C$30:$C$74,B237,気管支鏡!$K$30:$K$74)*((気管支鏡!$H$3-気管支鏡!$I$3)/気管支鏡!$H$3),0)</f>
        <v>0</v>
      </c>
      <c r="Y237" s="306">
        <f t="shared" si="54"/>
        <v>0</v>
      </c>
      <c r="Z237" s="305">
        <f>IFERROR(SUMIF(CT撮影装置!$C$30:$C$74,B237,CT撮影装置!$K$30:$K$74)*((CT撮影装置!$H$3-CT撮影装置!$I$3)/CT撮影装置!$H$3),0)</f>
        <v>0</v>
      </c>
      <c r="AA237" s="306">
        <f t="shared" si="69"/>
        <v>0</v>
      </c>
      <c r="AB237" s="305">
        <f>IFERROR(SUMIF(生体情報モニタ!$C$30:$C$74,B237,生体情報モニタ!$K$30:$K$74)*((生体情報モニタ!$H$3-生体情報モニタ!$I$3)/生体情報モニタ!$H$3),0)</f>
        <v>0</v>
      </c>
      <c r="AC237" s="306">
        <f t="shared" si="55"/>
        <v>0</v>
      </c>
      <c r="AD237" s="305">
        <f>IFERROR(SUMIF(分娩監視装置!$C$30:$C$74,B237,分娩監視装置!$K$30:$K$74)*((分娩監視装置!$H$3-分娩監視装置!$I$3)/分娩監視装置!$H$3),0)</f>
        <v>0</v>
      </c>
      <c r="AE237" s="306">
        <f t="shared" si="70"/>
        <v>0</v>
      </c>
      <c r="AF237" s="305">
        <f>IFERROR(SUMIF(新生児モニタ!$C$30:$C$74,B237,新生児モニタ!$K$30:$K$74)*((新生児モニタ!$H$3-新生児モニタ!$I$3)/新生児モニタ!$H$3),0)</f>
        <v>0</v>
      </c>
      <c r="AG237" s="306">
        <f t="shared" si="71"/>
        <v>0</v>
      </c>
    </row>
    <row r="238" spans="2:33">
      <c r="B238" s="283" t="s">
        <v>1051</v>
      </c>
      <c r="C238" s="305">
        <f>IFERROR(SUMIF(初度設備!$C$30:$C$74,B238,初度設備!$K$30:$K$74)*((初度設備!$H$3-初度設備!$I$3)/初度設備!$H$3),0)</f>
        <v>0</v>
      </c>
      <c r="D238" s="306">
        <f t="shared" si="56"/>
        <v>0</v>
      </c>
      <c r="E238" s="305">
        <f>IFERROR(SUMIF(人工呼吸器!$C$30:$C$74,B238,人工呼吸器!$K$30:$K$74)*((人工呼吸器!$H$3-人工呼吸器!$I$3)/人工呼吸器!$H$3),0)</f>
        <v>0</v>
      </c>
      <c r="F238" s="306">
        <f t="shared" si="57"/>
        <v>0</v>
      </c>
      <c r="G238" s="306">
        <f t="shared" si="58"/>
        <v>0</v>
      </c>
      <c r="H238" s="306">
        <f t="shared" si="59"/>
        <v>0</v>
      </c>
      <c r="I238" s="305">
        <f>IFERROR(SUMIF(簡易陰圧装置!$C$30:$C$74,B238,簡易陰圧装置!$K$30:$K$74)*((簡易陰圧装置!$H$3-簡易陰圧装置!$I$3)/簡易陰圧装置!$H$3),0)</f>
        <v>0</v>
      </c>
      <c r="J238" s="306">
        <f t="shared" si="60"/>
        <v>0</v>
      </c>
      <c r="K238" s="305">
        <f>IFERROR(SUMIF(簡易ベッド!$C$30:$C$74,B238,簡易ベッド!$K$30:$K$74)*((簡易ベッド!$H$3-簡易ベッド!$I$3)/簡易ベッド!$H$3),0)</f>
        <v>0</v>
      </c>
      <c r="L238" s="306">
        <f t="shared" si="61"/>
        <v>0</v>
      </c>
      <c r="M238" s="305">
        <f>IFERROR(SUMIF(体外式膜型人工肺!$C$30:$C$74,B238,体外式膜型人工肺!$K$30:$K$74)*((体外式膜型人工肺!$H$3-体外式膜型人工肺!$I$3)/体外式膜型人工肺!$H$3),0)</f>
        <v>0</v>
      </c>
      <c r="N238" s="306">
        <f t="shared" si="62"/>
        <v>0</v>
      </c>
      <c r="O238" s="306">
        <f t="shared" si="63"/>
        <v>0</v>
      </c>
      <c r="P238" s="306">
        <f t="shared" si="64"/>
        <v>0</v>
      </c>
      <c r="Q238" s="305">
        <f>IFERROR(SUMIF(紫外線照射装置!$C$30:$C$74,B238,紫外線照射装置!$K$30:$K$74)*((紫外線照射装置!$H$3-紫外線照射装置!$I$3)/紫外線照射装置!$H$3),0)</f>
        <v>0</v>
      </c>
      <c r="R238" s="306">
        <f t="shared" si="65"/>
        <v>0</v>
      </c>
      <c r="S238" s="419">
        <f t="shared" si="66"/>
        <v>0</v>
      </c>
      <c r="T238" s="305">
        <f>IFERROR(SUMIF(超音波画像診断装置!$C$30:$C$74,B238,超音波画像診断装置!$K$30:$K$74)*((超音波画像診断装置!$H$3-超音波画像診断装置!$I$3)/超音波画像診断装置!$H$3),0)</f>
        <v>0</v>
      </c>
      <c r="U238" s="306">
        <f t="shared" si="67"/>
        <v>0</v>
      </c>
      <c r="V238" s="305">
        <f>IFERROR(SUMIF(血液浄化装置!$C$30:$C$74,B238,血液浄化装置!$K$30:$K$74)*((血液浄化装置!$H$3-血液浄化装置!$I$3)/血液浄化装置!$H$3),0)</f>
        <v>0</v>
      </c>
      <c r="W238" s="306">
        <f t="shared" si="68"/>
        <v>0</v>
      </c>
      <c r="X238" s="305">
        <f>IFERROR(SUMIF(気管支鏡!$C$30:$C$74,B238,気管支鏡!$K$30:$K$74)*((気管支鏡!$H$3-気管支鏡!$I$3)/気管支鏡!$H$3),0)</f>
        <v>0</v>
      </c>
      <c r="Y238" s="306">
        <f t="shared" si="54"/>
        <v>0</v>
      </c>
      <c r="Z238" s="305">
        <f>IFERROR(SUMIF(CT撮影装置!$C$30:$C$74,B238,CT撮影装置!$K$30:$K$74)*((CT撮影装置!$H$3-CT撮影装置!$I$3)/CT撮影装置!$H$3),0)</f>
        <v>0</v>
      </c>
      <c r="AA238" s="306">
        <f t="shared" si="69"/>
        <v>0</v>
      </c>
      <c r="AB238" s="305">
        <f>IFERROR(SUMIF(生体情報モニタ!$C$30:$C$74,B238,生体情報モニタ!$K$30:$K$74)*((生体情報モニタ!$H$3-生体情報モニタ!$I$3)/生体情報モニタ!$H$3),0)</f>
        <v>0</v>
      </c>
      <c r="AC238" s="306">
        <f t="shared" si="55"/>
        <v>0</v>
      </c>
      <c r="AD238" s="305">
        <f>IFERROR(SUMIF(分娩監視装置!$C$30:$C$74,B238,分娩監視装置!$K$30:$K$74)*((分娩監視装置!$H$3-分娩監視装置!$I$3)/分娩監視装置!$H$3),0)</f>
        <v>0</v>
      </c>
      <c r="AE238" s="306">
        <f t="shared" si="70"/>
        <v>0</v>
      </c>
      <c r="AF238" s="305">
        <f>IFERROR(SUMIF(新生児モニタ!$C$30:$C$74,B238,新生児モニタ!$K$30:$K$74)*((新生児モニタ!$H$3-新生児モニタ!$I$3)/新生児モニタ!$H$3),0)</f>
        <v>0</v>
      </c>
      <c r="AG238" s="306">
        <f t="shared" si="71"/>
        <v>0</v>
      </c>
    </row>
    <row r="239" spans="2:33">
      <c r="B239" s="283" t="s">
        <v>1052</v>
      </c>
      <c r="C239" s="305">
        <f>IFERROR(SUMIF(初度設備!$C$30:$C$74,B239,初度設備!$K$30:$K$74)*((初度設備!$H$3-初度設備!$I$3)/初度設備!$H$3),0)</f>
        <v>0</v>
      </c>
      <c r="D239" s="306">
        <f t="shared" si="56"/>
        <v>0</v>
      </c>
      <c r="E239" s="305">
        <f>IFERROR(SUMIF(人工呼吸器!$C$30:$C$74,B239,人工呼吸器!$K$30:$K$74)*((人工呼吸器!$H$3-人工呼吸器!$I$3)/人工呼吸器!$H$3),0)</f>
        <v>0</v>
      </c>
      <c r="F239" s="306">
        <f t="shared" si="57"/>
        <v>0</v>
      </c>
      <c r="G239" s="306">
        <f t="shared" si="58"/>
        <v>0</v>
      </c>
      <c r="H239" s="306">
        <f t="shared" si="59"/>
        <v>0</v>
      </c>
      <c r="I239" s="305">
        <f>IFERROR(SUMIF(簡易陰圧装置!$C$30:$C$74,B239,簡易陰圧装置!$K$30:$K$74)*((簡易陰圧装置!$H$3-簡易陰圧装置!$I$3)/簡易陰圧装置!$H$3),0)</f>
        <v>0</v>
      </c>
      <c r="J239" s="306">
        <f t="shared" si="60"/>
        <v>0</v>
      </c>
      <c r="K239" s="305">
        <f>IFERROR(SUMIF(簡易ベッド!$C$30:$C$74,B239,簡易ベッド!$K$30:$K$74)*((簡易ベッド!$H$3-簡易ベッド!$I$3)/簡易ベッド!$H$3),0)</f>
        <v>0</v>
      </c>
      <c r="L239" s="306">
        <f t="shared" si="61"/>
        <v>0</v>
      </c>
      <c r="M239" s="305">
        <f>IFERROR(SUMIF(体外式膜型人工肺!$C$30:$C$74,B239,体外式膜型人工肺!$K$30:$K$74)*((体外式膜型人工肺!$H$3-体外式膜型人工肺!$I$3)/体外式膜型人工肺!$H$3),0)</f>
        <v>0</v>
      </c>
      <c r="N239" s="306">
        <f t="shared" si="62"/>
        <v>0</v>
      </c>
      <c r="O239" s="306">
        <f t="shared" si="63"/>
        <v>0</v>
      </c>
      <c r="P239" s="306">
        <f t="shared" si="64"/>
        <v>0</v>
      </c>
      <c r="Q239" s="305">
        <f>IFERROR(SUMIF(紫外線照射装置!$C$30:$C$74,B239,紫外線照射装置!$K$30:$K$74)*((紫外線照射装置!$H$3-紫外線照射装置!$I$3)/紫外線照射装置!$H$3),0)</f>
        <v>0</v>
      </c>
      <c r="R239" s="306">
        <f t="shared" si="65"/>
        <v>0</v>
      </c>
      <c r="S239" s="419">
        <f t="shared" si="66"/>
        <v>0</v>
      </c>
      <c r="T239" s="305">
        <f>IFERROR(SUMIF(超音波画像診断装置!$C$30:$C$74,B239,超音波画像診断装置!$K$30:$K$74)*((超音波画像診断装置!$H$3-超音波画像診断装置!$I$3)/超音波画像診断装置!$H$3),0)</f>
        <v>0</v>
      </c>
      <c r="U239" s="306">
        <f t="shared" si="67"/>
        <v>0</v>
      </c>
      <c r="V239" s="305">
        <f>IFERROR(SUMIF(血液浄化装置!$C$30:$C$74,B239,血液浄化装置!$K$30:$K$74)*((血液浄化装置!$H$3-血液浄化装置!$I$3)/血液浄化装置!$H$3),0)</f>
        <v>0</v>
      </c>
      <c r="W239" s="306">
        <f t="shared" si="68"/>
        <v>0</v>
      </c>
      <c r="X239" s="305">
        <f>IFERROR(SUMIF(気管支鏡!$C$30:$C$74,B239,気管支鏡!$K$30:$K$74)*((気管支鏡!$H$3-気管支鏡!$I$3)/気管支鏡!$H$3),0)</f>
        <v>0</v>
      </c>
      <c r="Y239" s="306">
        <f t="shared" si="54"/>
        <v>0</v>
      </c>
      <c r="Z239" s="305">
        <f>IFERROR(SUMIF(CT撮影装置!$C$30:$C$74,B239,CT撮影装置!$K$30:$K$74)*((CT撮影装置!$H$3-CT撮影装置!$I$3)/CT撮影装置!$H$3),0)</f>
        <v>0</v>
      </c>
      <c r="AA239" s="306">
        <f t="shared" si="69"/>
        <v>0</v>
      </c>
      <c r="AB239" s="305">
        <f>IFERROR(SUMIF(生体情報モニタ!$C$30:$C$74,B239,生体情報モニタ!$K$30:$K$74)*((生体情報モニタ!$H$3-生体情報モニタ!$I$3)/生体情報モニタ!$H$3),0)</f>
        <v>0</v>
      </c>
      <c r="AC239" s="306">
        <f t="shared" si="55"/>
        <v>0</v>
      </c>
      <c r="AD239" s="305">
        <f>IFERROR(SUMIF(分娩監視装置!$C$30:$C$74,B239,分娩監視装置!$K$30:$K$74)*((分娩監視装置!$H$3-分娩監視装置!$I$3)/分娩監視装置!$H$3),0)</f>
        <v>0</v>
      </c>
      <c r="AE239" s="306">
        <f t="shared" si="70"/>
        <v>0</v>
      </c>
      <c r="AF239" s="305">
        <f>IFERROR(SUMIF(新生児モニタ!$C$30:$C$74,B239,新生児モニタ!$K$30:$K$74)*((新生児モニタ!$H$3-新生児モニタ!$I$3)/新生児モニタ!$H$3),0)</f>
        <v>0</v>
      </c>
      <c r="AG239" s="306">
        <f t="shared" si="71"/>
        <v>0</v>
      </c>
    </row>
    <row r="240" spans="2:33">
      <c r="B240" s="283" t="s">
        <v>1053</v>
      </c>
      <c r="C240" s="305">
        <f>IFERROR(SUMIF(初度設備!$C$30:$C$74,B240,初度設備!$K$30:$K$74)*((初度設備!$H$3-初度設備!$I$3)/初度設備!$H$3),0)</f>
        <v>0</v>
      </c>
      <c r="D240" s="306">
        <f t="shared" si="56"/>
        <v>0</v>
      </c>
      <c r="E240" s="305">
        <f>IFERROR(SUMIF(人工呼吸器!$C$30:$C$74,B240,人工呼吸器!$K$30:$K$74)*((人工呼吸器!$H$3-人工呼吸器!$I$3)/人工呼吸器!$H$3),0)</f>
        <v>0</v>
      </c>
      <c r="F240" s="306">
        <f t="shared" si="57"/>
        <v>0</v>
      </c>
      <c r="G240" s="306">
        <f t="shared" si="58"/>
        <v>0</v>
      </c>
      <c r="H240" s="306">
        <f t="shared" si="59"/>
        <v>0</v>
      </c>
      <c r="I240" s="305">
        <f>IFERROR(SUMIF(簡易陰圧装置!$C$30:$C$74,B240,簡易陰圧装置!$K$30:$K$74)*((簡易陰圧装置!$H$3-簡易陰圧装置!$I$3)/簡易陰圧装置!$H$3),0)</f>
        <v>0</v>
      </c>
      <c r="J240" s="306">
        <f t="shared" si="60"/>
        <v>0</v>
      </c>
      <c r="K240" s="305">
        <f>IFERROR(SUMIF(簡易ベッド!$C$30:$C$74,B240,簡易ベッド!$K$30:$K$74)*((簡易ベッド!$H$3-簡易ベッド!$I$3)/簡易ベッド!$H$3),0)</f>
        <v>0</v>
      </c>
      <c r="L240" s="306">
        <f t="shared" si="61"/>
        <v>0</v>
      </c>
      <c r="M240" s="305">
        <f>IFERROR(SUMIF(体外式膜型人工肺!$C$30:$C$74,B240,体外式膜型人工肺!$K$30:$K$74)*((体外式膜型人工肺!$H$3-体外式膜型人工肺!$I$3)/体外式膜型人工肺!$H$3),0)</f>
        <v>0</v>
      </c>
      <c r="N240" s="306">
        <f t="shared" si="62"/>
        <v>0</v>
      </c>
      <c r="O240" s="306">
        <f t="shared" si="63"/>
        <v>0</v>
      </c>
      <c r="P240" s="306">
        <f t="shared" si="64"/>
        <v>0</v>
      </c>
      <c r="Q240" s="305">
        <f>IFERROR(SUMIF(紫外線照射装置!$C$30:$C$74,B240,紫外線照射装置!$K$30:$K$74)*((紫外線照射装置!$H$3-紫外線照射装置!$I$3)/紫外線照射装置!$H$3),0)</f>
        <v>0</v>
      </c>
      <c r="R240" s="306">
        <f t="shared" si="65"/>
        <v>0</v>
      </c>
      <c r="S240" s="419">
        <f t="shared" si="66"/>
        <v>0</v>
      </c>
      <c r="T240" s="305">
        <f>IFERROR(SUMIF(超音波画像診断装置!$C$30:$C$74,B240,超音波画像診断装置!$K$30:$K$74)*((超音波画像診断装置!$H$3-超音波画像診断装置!$I$3)/超音波画像診断装置!$H$3),0)</f>
        <v>0</v>
      </c>
      <c r="U240" s="306">
        <f t="shared" si="67"/>
        <v>0</v>
      </c>
      <c r="V240" s="305">
        <f>IFERROR(SUMIF(血液浄化装置!$C$30:$C$74,B240,血液浄化装置!$K$30:$K$74)*((血液浄化装置!$H$3-血液浄化装置!$I$3)/血液浄化装置!$H$3),0)</f>
        <v>0</v>
      </c>
      <c r="W240" s="306">
        <f t="shared" si="68"/>
        <v>0</v>
      </c>
      <c r="X240" s="305">
        <f>IFERROR(SUMIF(気管支鏡!$C$30:$C$74,B240,気管支鏡!$K$30:$K$74)*((気管支鏡!$H$3-気管支鏡!$I$3)/気管支鏡!$H$3),0)</f>
        <v>0</v>
      </c>
      <c r="Y240" s="306">
        <f t="shared" si="54"/>
        <v>0</v>
      </c>
      <c r="Z240" s="305">
        <f>IFERROR(SUMIF(CT撮影装置!$C$30:$C$74,B240,CT撮影装置!$K$30:$K$74)*((CT撮影装置!$H$3-CT撮影装置!$I$3)/CT撮影装置!$H$3),0)</f>
        <v>0</v>
      </c>
      <c r="AA240" s="306">
        <f t="shared" si="69"/>
        <v>0</v>
      </c>
      <c r="AB240" s="305">
        <f>IFERROR(SUMIF(生体情報モニタ!$C$30:$C$74,B240,生体情報モニタ!$K$30:$K$74)*((生体情報モニタ!$H$3-生体情報モニタ!$I$3)/生体情報モニタ!$H$3),0)</f>
        <v>0</v>
      </c>
      <c r="AC240" s="306">
        <f t="shared" si="55"/>
        <v>0</v>
      </c>
      <c r="AD240" s="305">
        <f>IFERROR(SUMIF(分娩監視装置!$C$30:$C$74,B240,分娩監視装置!$K$30:$K$74)*((分娩監視装置!$H$3-分娩監視装置!$I$3)/分娩監視装置!$H$3),0)</f>
        <v>0</v>
      </c>
      <c r="AE240" s="306">
        <f t="shared" si="70"/>
        <v>0</v>
      </c>
      <c r="AF240" s="305">
        <f>IFERROR(SUMIF(新生児モニタ!$C$30:$C$74,B240,新生児モニタ!$K$30:$K$74)*((新生児モニタ!$H$3-新生児モニタ!$I$3)/新生児モニタ!$H$3),0)</f>
        <v>0</v>
      </c>
      <c r="AG240" s="306">
        <f t="shared" si="71"/>
        <v>0</v>
      </c>
    </row>
    <row r="241" spans="2:33">
      <c r="B241" s="283" t="s">
        <v>1054</v>
      </c>
      <c r="C241" s="305">
        <f>IFERROR(SUMIF(初度設備!$C$30:$C$74,B241,初度設備!$K$30:$K$74)*((初度設備!$H$3-初度設備!$I$3)/初度設備!$H$3),0)</f>
        <v>0</v>
      </c>
      <c r="D241" s="306">
        <f t="shared" si="56"/>
        <v>0</v>
      </c>
      <c r="E241" s="305">
        <f>IFERROR(SUMIF(人工呼吸器!$C$30:$C$74,B241,人工呼吸器!$K$30:$K$74)*((人工呼吸器!$H$3-人工呼吸器!$I$3)/人工呼吸器!$H$3),0)</f>
        <v>0</v>
      </c>
      <c r="F241" s="306">
        <f t="shared" si="57"/>
        <v>0</v>
      </c>
      <c r="G241" s="306">
        <f t="shared" si="58"/>
        <v>0</v>
      </c>
      <c r="H241" s="306">
        <f t="shared" si="59"/>
        <v>0</v>
      </c>
      <c r="I241" s="305">
        <f>IFERROR(SUMIF(簡易陰圧装置!$C$30:$C$74,B241,簡易陰圧装置!$K$30:$K$74)*((簡易陰圧装置!$H$3-簡易陰圧装置!$I$3)/簡易陰圧装置!$H$3),0)</f>
        <v>0</v>
      </c>
      <c r="J241" s="306">
        <f t="shared" si="60"/>
        <v>0</v>
      </c>
      <c r="K241" s="305">
        <f>IFERROR(SUMIF(簡易ベッド!$C$30:$C$74,B241,簡易ベッド!$K$30:$K$74)*((簡易ベッド!$H$3-簡易ベッド!$I$3)/簡易ベッド!$H$3),0)</f>
        <v>0</v>
      </c>
      <c r="L241" s="306">
        <f t="shared" si="61"/>
        <v>0</v>
      </c>
      <c r="M241" s="305">
        <f>IFERROR(SUMIF(体外式膜型人工肺!$C$30:$C$74,B241,体外式膜型人工肺!$K$30:$K$74)*((体外式膜型人工肺!$H$3-体外式膜型人工肺!$I$3)/体外式膜型人工肺!$H$3),0)</f>
        <v>0</v>
      </c>
      <c r="N241" s="306">
        <f t="shared" si="62"/>
        <v>0</v>
      </c>
      <c r="O241" s="306">
        <f t="shared" si="63"/>
        <v>0</v>
      </c>
      <c r="P241" s="306">
        <f t="shared" si="64"/>
        <v>0</v>
      </c>
      <c r="Q241" s="305">
        <f>IFERROR(SUMIF(紫外線照射装置!$C$30:$C$74,B241,紫外線照射装置!$K$30:$K$74)*((紫外線照射装置!$H$3-紫外線照射装置!$I$3)/紫外線照射装置!$H$3),0)</f>
        <v>0</v>
      </c>
      <c r="R241" s="306">
        <f t="shared" si="65"/>
        <v>0</v>
      </c>
      <c r="S241" s="419">
        <f t="shared" si="66"/>
        <v>0</v>
      </c>
      <c r="T241" s="305">
        <f>IFERROR(SUMIF(超音波画像診断装置!$C$30:$C$74,B241,超音波画像診断装置!$K$30:$K$74)*((超音波画像診断装置!$H$3-超音波画像診断装置!$I$3)/超音波画像診断装置!$H$3),0)</f>
        <v>0</v>
      </c>
      <c r="U241" s="306">
        <f t="shared" si="67"/>
        <v>0</v>
      </c>
      <c r="V241" s="305">
        <f>IFERROR(SUMIF(血液浄化装置!$C$30:$C$74,B241,血液浄化装置!$K$30:$K$74)*((血液浄化装置!$H$3-血液浄化装置!$I$3)/血液浄化装置!$H$3),0)</f>
        <v>0</v>
      </c>
      <c r="W241" s="306">
        <f t="shared" si="68"/>
        <v>0</v>
      </c>
      <c r="X241" s="305">
        <f>IFERROR(SUMIF(気管支鏡!$C$30:$C$74,B241,気管支鏡!$K$30:$K$74)*((気管支鏡!$H$3-気管支鏡!$I$3)/気管支鏡!$H$3),0)</f>
        <v>0</v>
      </c>
      <c r="Y241" s="306">
        <f t="shared" si="54"/>
        <v>0</v>
      </c>
      <c r="Z241" s="305">
        <f>IFERROR(SUMIF(CT撮影装置!$C$30:$C$74,B241,CT撮影装置!$K$30:$K$74)*((CT撮影装置!$H$3-CT撮影装置!$I$3)/CT撮影装置!$H$3),0)</f>
        <v>0</v>
      </c>
      <c r="AA241" s="306">
        <f t="shared" si="69"/>
        <v>0</v>
      </c>
      <c r="AB241" s="305">
        <f>IFERROR(SUMIF(生体情報モニタ!$C$30:$C$74,B241,生体情報モニタ!$K$30:$K$74)*((生体情報モニタ!$H$3-生体情報モニタ!$I$3)/生体情報モニタ!$H$3),0)</f>
        <v>0</v>
      </c>
      <c r="AC241" s="306">
        <f t="shared" si="55"/>
        <v>0</v>
      </c>
      <c r="AD241" s="305">
        <f>IFERROR(SUMIF(分娩監視装置!$C$30:$C$74,B241,分娩監視装置!$K$30:$K$74)*((分娩監視装置!$H$3-分娩監視装置!$I$3)/分娩監視装置!$H$3),0)</f>
        <v>0</v>
      </c>
      <c r="AE241" s="306">
        <f t="shared" si="70"/>
        <v>0</v>
      </c>
      <c r="AF241" s="305">
        <f>IFERROR(SUMIF(新生児モニタ!$C$30:$C$74,B241,新生児モニタ!$K$30:$K$74)*((新生児モニタ!$H$3-新生児モニタ!$I$3)/新生児モニタ!$H$3),0)</f>
        <v>0</v>
      </c>
      <c r="AG241" s="306">
        <f t="shared" si="71"/>
        <v>0</v>
      </c>
    </row>
    <row r="242" spans="2:33">
      <c r="B242" s="283" t="s">
        <v>1055</v>
      </c>
      <c r="C242" s="305">
        <f>IFERROR(SUMIF(初度設備!$C$30:$C$74,B242,初度設備!$K$30:$K$74)*((初度設備!$H$3-初度設備!$I$3)/初度設備!$H$3),0)</f>
        <v>0</v>
      </c>
      <c r="D242" s="306">
        <f t="shared" si="56"/>
        <v>0</v>
      </c>
      <c r="E242" s="305">
        <f>IFERROR(SUMIF(人工呼吸器!$C$30:$C$74,B242,人工呼吸器!$K$30:$K$74)*((人工呼吸器!$H$3-人工呼吸器!$I$3)/人工呼吸器!$H$3),0)</f>
        <v>0</v>
      </c>
      <c r="F242" s="306">
        <f t="shared" si="57"/>
        <v>0</v>
      </c>
      <c r="G242" s="306">
        <f t="shared" si="58"/>
        <v>0</v>
      </c>
      <c r="H242" s="306">
        <f t="shared" si="59"/>
        <v>0</v>
      </c>
      <c r="I242" s="305">
        <f>IFERROR(SUMIF(簡易陰圧装置!$C$30:$C$74,B242,簡易陰圧装置!$K$30:$K$74)*((簡易陰圧装置!$H$3-簡易陰圧装置!$I$3)/簡易陰圧装置!$H$3),0)</f>
        <v>0</v>
      </c>
      <c r="J242" s="306">
        <f t="shared" si="60"/>
        <v>0</v>
      </c>
      <c r="K242" s="305">
        <f>IFERROR(SUMIF(簡易ベッド!$C$30:$C$74,B242,簡易ベッド!$K$30:$K$74)*((簡易ベッド!$H$3-簡易ベッド!$I$3)/簡易ベッド!$H$3),0)</f>
        <v>0</v>
      </c>
      <c r="L242" s="306">
        <f t="shared" si="61"/>
        <v>0</v>
      </c>
      <c r="M242" s="305">
        <f>IFERROR(SUMIF(体外式膜型人工肺!$C$30:$C$74,B242,体外式膜型人工肺!$K$30:$K$74)*((体外式膜型人工肺!$H$3-体外式膜型人工肺!$I$3)/体外式膜型人工肺!$H$3),0)</f>
        <v>0</v>
      </c>
      <c r="N242" s="306">
        <f t="shared" si="62"/>
        <v>0</v>
      </c>
      <c r="O242" s="306">
        <f t="shared" si="63"/>
        <v>0</v>
      </c>
      <c r="P242" s="306">
        <f t="shared" si="64"/>
        <v>0</v>
      </c>
      <c r="Q242" s="305">
        <f>IFERROR(SUMIF(紫外線照射装置!$C$30:$C$74,B242,紫外線照射装置!$K$30:$K$74)*((紫外線照射装置!$H$3-紫外線照射装置!$I$3)/紫外線照射装置!$H$3),0)</f>
        <v>0</v>
      </c>
      <c r="R242" s="306">
        <f t="shared" si="65"/>
        <v>0</v>
      </c>
      <c r="S242" s="419">
        <f t="shared" si="66"/>
        <v>0</v>
      </c>
      <c r="T242" s="305">
        <f>IFERROR(SUMIF(超音波画像診断装置!$C$30:$C$74,B242,超音波画像診断装置!$K$30:$K$74)*((超音波画像診断装置!$H$3-超音波画像診断装置!$I$3)/超音波画像診断装置!$H$3),0)</f>
        <v>0</v>
      </c>
      <c r="U242" s="306">
        <f t="shared" si="67"/>
        <v>0</v>
      </c>
      <c r="V242" s="305">
        <f>IFERROR(SUMIF(血液浄化装置!$C$30:$C$74,B242,血液浄化装置!$K$30:$K$74)*((血液浄化装置!$H$3-血液浄化装置!$I$3)/血液浄化装置!$H$3),0)</f>
        <v>0</v>
      </c>
      <c r="W242" s="306">
        <f t="shared" si="68"/>
        <v>0</v>
      </c>
      <c r="X242" s="305">
        <f>IFERROR(SUMIF(気管支鏡!$C$30:$C$74,B242,気管支鏡!$K$30:$K$74)*((気管支鏡!$H$3-気管支鏡!$I$3)/気管支鏡!$H$3),0)</f>
        <v>0</v>
      </c>
      <c r="Y242" s="306">
        <f t="shared" si="54"/>
        <v>0</v>
      </c>
      <c r="Z242" s="305">
        <f>IFERROR(SUMIF(CT撮影装置!$C$30:$C$74,B242,CT撮影装置!$K$30:$K$74)*((CT撮影装置!$H$3-CT撮影装置!$I$3)/CT撮影装置!$H$3),0)</f>
        <v>0</v>
      </c>
      <c r="AA242" s="306">
        <f t="shared" si="69"/>
        <v>0</v>
      </c>
      <c r="AB242" s="305">
        <f>IFERROR(SUMIF(生体情報モニタ!$C$30:$C$74,B242,生体情報モニタ!$K$30:$K$74)*((生体情報モニタ!$H$3-生体情報モニタ!$I$3)/生体情報モニタ!$H$3),0)</f>
        <v>0</v>
      </c>
      <c r="AC242" s="306">
        <f t="shared" si="55"/>
        <v>0</v>
      </c>
      <c r="AD242" s="305">
        <f>IFERROR(SUMIF(分娩監視装置!$C$30:$C$74,B242,分娩監視装置!$K$30:$K$74)*((分娩監視装置!$H$3-分娩監視装置!$I$3)/分娩監視装置!$H$3),0)</f>
        <v>0</v>
      </c>
      <c r="AE242" s="306">
        <f t="shared" si="70"/>
        <v>0</v>
      </c>
      <c r="AF242" s="305">
        <f>IFERROR(SUMIF(新生児モニタ!$C$30:$C$74,B242,新生児モニタ!$K$30:$K$74)*((新生児モニタ!$H$3-新生児モニタ!$I$3)/新生児モニタ!$H$3),0)</f>
        <v>0</v>
      </c>
      <c r="AG242" s="306">
        <f t="shared" si="71"/>
        <v>0</v>
      </c>
    </row>
    <row r="243" spans="2:33">
      <c r="B243" s="283" t="s">
        <v>1056</v>
      </c>
      <c r="C243" s="305">
        <f>IFERROR(SUMIF(初度設備!$C$30:$C$74,B243,初度設備!$K$30:$K$74)*((初度設備!$H$3-初度設備!$I$3)/初度設備!$H$3),0)</f>
        <v>0</v>
      </c>
      <c r="D243" s="306">
        <f t="shared" si="56"/>
        <v>0</v>
      </c>
      <c r="E243" s="305">
        <f>IFERROR(SUMIF(人工呼吸器!$C$30:$C$74,B243,人工呼吸器!$K$30:$K$74)*((人工呼吸器!$H$3-人工呼吸器!$I$3)/人工呼吸器!$H$3),0)</f>
        <v>0</v>
      </c>
      <c r="F243" s="306">
        <f t="shared" si="57"/>
        <v>0</v>
      </c>
      <c r="G243" s="306">
        <f t="shared" si="58"/>
        <v>0</v>
      </c>
      <c r="H243" s="306">
        <f t="shared" si="59"/>
        <v>0</v>
      </c>
      <c r="I243" s="305">
        <f>IFERROR(SUMIF(簡易陰圧装置!$C$30:$C$74,B243,簡易陰圧装置!$K$30:$K$74)*((簡易陰圧装置!$H$3-簡易陰圧装置!$I$3)/簡易陰圧装置!$H$3),0)</f>
        <v>0</v>
      </c>
      <c r="J243" s="306">
        <f t="shared" si="60"/>
        <v>0</v>
      </c>
      <c r="K243" s="305">
        <f>IFERROR(SUMIF(簡易ベッド!$C$30:$C$74,B243,簡易ベッド!$K$30:$K$74)*((簡易ベッド!$H$3-簡易ベッド!$I$3)/簡易ベッド!$H$3),0)</f>
        <v>0</v>
      </c>
      <c r="L243" s="306">
        <f t="shared" si="61"/>
        <v>0</v>
      </c>
      <c r="M243" s="305">
        <f>IFERROR(SUMIF(体外式膜型人工肺!$C$30:$C$74,B243,体外式膜型人工肺!$K$30:$K$74)*((体外式膜型人工肺!$H$3-体外式膜型人工肺!$I$3)/体外式膜型人工肺!$H$3),0)</f>
        <v>0</v>
      </c>
      <c r="N243" s="306">
        <f t="shared" si="62"/>
        <v>0</v>
      </c>
      <c r="O243" s="306">
        <f t="shared" si="63"/>
        <v>0</v>
      </c>
      <c r="P243" s="306">
        <f t="shared" si="64"/>
        <v>0</v>
      </c>
      <c r="Q243" s="305">
        <f>IFERROR(SUMIF(紫外線照射装置!$C$30:$C$74,B243,紫外線照射装置!$K$30:$K$74)*((紫外線照射装置!$H$3-紫外線照射装置!$I$3)/紫外線照射装置!$H$3),0)</f>
        <v>0</v>
      </c>
      <c r="R243" s="306">
        <f t="shared" si="65"/>
        <v>0</v>
      </c>
      <c r="S243" s="419">
        <f t="shared" si="66"/>
        <v>0</v>
      </c>
      <c r="T243" s="305">
        <f>IFERROR(SUMIF(超音波画像診断装置!$C$30:$C$74,B243,超音波画像診断装置!$K$30:$K$74)*((超音波画像診断装置!$H$3-超音波画像診断装置!$I$3)/超音波画像診断装置!$H$3),0)</f>
        <v>0</v>
      </c>
      <c r="U243" s="306">
        <f t="shared" si="67"/>
        <v>0</v>
      </c>
      <c r="V243" s="305">
        <f>IFERROR(SUMIF(血液浄化装置!$C$30:$C$74,B243,血液浄化装置!$K$30:$K$74)*((血液浄化装置!$H$3-血液浄化装置!$I$3)/血液浄化装置!$H$3),0)</f>
        <v>0</v>
      </c>
      <c r="W243" s="306">
        <f t="shared" si="68"/>
        <v>0</v>
      </c>
      <c r="X243" s="305">
        <f>IFERROR(SUMIF(気管支鏡!$C$30:$C$74,B243,気管支鏡!$K$30:$K$74)*((気管支鏡!$H$3-気管支鏡!$I$3)/気管支鏡!$H$3),0)</f>
        <v>0</v>
      </c>
      <c r="Y243" s="306">
        <f t="shared" si="54"/>
        <v>0</v>
      </c>
      <c r="Z243" s="305">
        <f>IFERROR(SUMIF(CT撮影装置!$C$30:$C$74,B243,CT撮影装置!$K$30:$K$74)*((CT撮影装置!$H$3-CT撮影装置!$I$3)/CT撮影装置!$H$3),0)</f>
        <v>0</v>
      </c>
      <c r="AA243" s="306">
        <f t="shared" si="69"/>
        <v>0</v>
      </c>
      <c r="AB243" s="305">
        <f>IFERROR(SUMIF(生体情報モニタ!$C$30:$C$74,B243,生体情報モニタ!$K$30:$K$74)*((生体情報モニタ!$H$3-生体情報モニタ!$I$3)/生体情報モニタ!$H$3),0)</f>
        <v>0</v>
      </c>
      <c r="AC243" s="306">
        <f t="shared" si="55"/>
        <v>0</v>
      </c>
      <c r="AD243" s="305">
        <f>IFERROR(SUMIF(分娩監視装置!$C$30:$C$74,B243,分娩監視装置!$K$30:$K$74)*((分娩監視装置!$H$3-分娩監視装置!$I$3)/分娩監視装置!$H$3),0)</f>
        <v>0</v>
      </c>
      <c r="AE243" s="306">
        <f t="shared" si="70"/>
        <v>0</v>
      </c>
      <c r="AF243" s="305">
        <f>IFERROR(SUMIF(新生児モニタ!$C$30:$C$74,B243,新生児モニタ!$K$30:$K$74)*((新生児モニタ!$H$3-新生児モニタ!$I$3)/新生児モニタ!$H$3),0)</f>
        <v>0</v>
      </c>
      <c r="AG243" s="306">
        <f t="shared" si="71"/>
        <v>0</v>
      </c>
    </row>
    <row r="244" spans="2:33">
      <c r="B244" s="283" t="s">
        <v>1057</v>
      </c>
      <c r="C244" s="305">
        <f>IFERROR(SUMIF(初度設備!$C$30:$C$74,B244,初度設備!$K$30:$K$74)*((初度設備!$H$3-初度設備!$I$3)/初度設備!$H$3),0)</f>
        <v>0</v>
      </c>
      <c r="D244" s="306">
        <f t="shared" si="56"/>
        <v>0</v>
      </c>
      <c r="E244" s="305">
        <f>IFERROR(SUMIF(人工呼吸器!$C$30:$C$74,B244,人工呼吸器!$K$30:$K$74)*((人工呼吸器!$H$3-人工呼吸器!$I$3)/人工呼吸器!$H$3),0)</f>
        <v>0</v>
      </c>
      <c r="F244" s="306">
        <f t="shared" si="57"/>
        <v>0</v>
      </c>
      <c r="G244" s="306">
        <f t="shared" si="58"/>
        <v>0</v>
      </c>
      <c r="H244" s="306">
        <f t="shared" si="59"/>
        <v>0</v>
      </c>
      <c r="I244" s="305">
        <f>IFERROR(SUMIF(簡易陰圧装置!$C$30:$C$74,B244,簡易陰圧装置!$K$30:$K$74)*((簡易陰圧装置!$H$3-簡易陰圧装置!$I$3)/簡易陰圧装置!$H$3),0)</f>
        <v>0</v>
      </c>
      <c r="J244" s="306">
        <f t="shared" si="60"/>
        <v>0</v>
      </c>
      <c r="K244" s="305">
        <f>IFERROR(SUMIF(簡易ベッド!$C$30:$C$74,B244,簡易ベッド!$K$30:$K$74)*((簡易ベッド!$H$3-簡易ベッド!$I$3)/簡易ベッド!$H$3),0)</f>
        <v>0</v>
      </c>
      <c r="L244" s="306">
        <f t="shared" si="61"/>
        <v>0</v>
      </c>
      <c r="M244" s="305">
        <f>IFERROR(SUMIF(体外式膜型人工肺!$C$30:$C$74,B244,体外式膜型人工肺!$K$30:$K$74)*((体外式膜型人工肺!$H$3-体外式膜型人工肺!$I$3)/体外式膜型人工肺!$H$3),0)</f>
        <v>0</v>
      </c>
      <c r="N244" s="306">
        <f t="shared" si="62"/>
        <v>0</v>
      </c>
      <c r="O244" s="306">
        <f t="shared" si="63"/>
        <v>0</v>
      </c>
      <c r="P244" s="306">
        <f t="shared" si="64"/>
        <v>0</v>
      </c>
      <c r="Q244" s="305">
        <f>IFERROR(SUMIF(紫外線照射装置!$C$30:$C$74,B244,紫外線照射装置!$K$30:$K$74)*((紫外線照射装置!$H$3-紫外線照射装置!$I$3)/紫外線照射装置!$H$3),0)</f>
        <v>0</v>
      </c>
      <c r="R244" s="306">
        <f t="shared" si="65"/>
        <v>0</v>
      </c>
      <c r="S244" s="419">
        <f t="shared" si="66"/>
        <v>0</v>
      </c>
      <c r="T244" s="305">
        <f>IFERROR(SUMIF(超音波画像診断装置!$C$30:$C$74,B244,超音波画像診断装置!$K$30:$K$74)*((超音波画像診断装置!$H$3-超音波画像診断装置!$I$3)/超音波画像診断装置!$H$3),0)</f>
        <v>0</v>
      </c>
      <c r="U244" s="306">
        <f t="shared" si="67"/>
        <v>0</v>
      </c>
      <c r="V244" s="305">
        <f>IFERROR(SUMIF(血液浄化装置!$C$30:$C$74,B244,血液浄化装置!$K$30:$K$74)*((血液浄化装置!$H$3-血液浄化装置!$I$3)/血液浄化装置!$H$3),0)</f>
        <v>0</v>
      </c>
      <c r="W244" s="306">
        <f t="shared" si="68"/>
        <v>0</v>
      </c>
      <c r="X244" s="305">
        <f>IFERROR(SUMIF(気管支鏡!$C$30:$C$74,B244,気管支鏡!$K$30:$K$74)*((気管支鏡!$H$3-気管支鏡!$I$3)/気管支鏡!$H$3),0)</f>
        <v>0</v>
      </c>
      <c r="Y244" s="306">
        <f t="shared" si="54"/>
        <v>0</v>
      </c>
      <c r="Z244" s="305">
        <f>IFERROR(SUMIF(CT撮影装置!$C$30:$C$74,B244,CT撮影装置!$K$30:$K$74)*((CT撮影装置!$H$3-CT撮影装置!$I$3)/CT撮影装置!$H$3),0)</f>
        <v>0</v>
      </c>
      <c r="AA244" s="306">
        <f t="shared" si="69"/>
        <v>0</v>
      </c>
      <c r="AB244" s="305">
        <f>IFERROR(SUMIF(生体情報モニタ!$C$30:$C$74,B244,生体情報モニタ!$K$30:$K$74)*((生体情報モニタ!$H$3-生体情報モニタ!$I$3)/生体情報モニタ!$H$3),0)</f>
        <v>0</v>
      </c>
      <c r="AC244" s="306">
        <f t="shared" si="55"/>
        <v>0</v>
      </c>
      <c r="AD244" s="305">
        <f>IFERROR(SUMIF(分娩監視装置!$C$30:$C$74,B244,分娩監視装置!$K$30:$K$74)*((分娩監視装置!$H$3-分娩監視装置!$I$3)/分娩監視装置!$H$3),0)</f>
        <v>0</v>
      </c>
      <c r="AE244" s="306">
        <f t="shared" si="70"/>
        <v>0</v>
      </c>
      <c r="AF244" s="305">
        <f>IFERROR(SUMIF(新生児モニタ!$C$30:$C$74,B244,新生児モニタ!$K$30:$K$74)*((新生児モニタ!$H$3-新生児モニタ!$I$3)/新生児モニタ!$H$3),0)</f>
        <v>0</v>
      </c>
      <c r="AG244" s="306">
        <f t="shared" si="71"/>
        <v>0</v>
      </c>
    </row>
    <row r="245" spans="2:33">
      <c r="B245" s="283" t="s">
        <v>1058</v>
      </c>
      <c r="C245" s="305">
        <f>IFERROR(SUMIF(初度設備!$C$30:$C$74,B245,初度設備!$K$30:$K$74)*((初度設備!$H$3-初度設備!$I$3)/初度設備!$H$3),0)</f>
        <v>0</v>
      </c>
      <c r="D245" s="306">
        <f t="shared" si="56"/>
        <v>0</v>
      </c>
      <c r="E245" s="305">
        <f>IFERROR(SUMIF(人工呼吸器!$C$30:$C$74,B245,人工呼吸器!$K$30:$K$74)*((人工呼吸器!$H$3-人工呼吸器!$I$3)/人工呼吸器!$H$3),0)</f>
        <v>0</v>
      </c>
      <c r="F245" s="306">
        <f t="shared" si="57"/>
        <v>0</v>
      </c>
      <c r="G245" s="306">
        <f t="shared" si="58"/>
        <v>0</v>
      </c>
      <c r="H245" s="306">
        <f t="shared" si="59"/>
        <v>0</v>
      </c>
      <c r="I245" s="305">
        <f>IFERROR(SUMIF(簡易陰圧装置!$C$30:$C$74,B245,簡易陰圧装置!$K$30:$K$74)*((簡易陰圧装置!$H$3-簡易陰圧装置!$I$3)/簡易陰圧装置!$H$3),0)</f>
        <v>0</v>
      </c>
      <c r="J245" s="306">
        <f t="shared" si="60"/>
        <v>0</v>
      </c>
      <c r="K245" s="305">
        <f>IFERROR(SUMIF(簡易ベッド!$C$30:$C$74,B245,簡易ベッド!$K$30:$K$74)*((簡易ベッド!$H$3-簡易ベッド!$I$3)/簡易ベッド!$H$3),0)</f>
        <v>0</v>
      </c>
      <c r="L245" s="306">
        <f t="shared" si="61"/>
        <v>0</v>
      </c>
      <c r="M245" s="305">
        <f>IFERROR(SUMIF(体外式膜型人工肺!$C$30:$C$74,B245,体外式膜型人工肺!$K$30:$K$74)*((体外式膜型人工肺!$H$3-体外式膜型人工肺!$I$3)/体外式膜型人工肺!$H$3),0)</f>
        <v>0</v>
      </c>
      <c r="N245" s="306">
        <f t="shared" si="62"/>
        <v>0</v>
      </c>
      <c r="O245" s="306">
        <f t="shared" si="63"/>
        <v>0</v>
      </c>
      <c r="P245" s="306">
        <f t="shared" si="64"/>
        <v>0</v>
      </c>
      <c r="Q245" s="305">
        <f>IFERROR(SUMIF(紫外線照射装置!$C$30:$C$74,B245,紫外線照射装置!$K$30:$K$74)*((紫外線照射装置!$H$3-紫外線照射装置!$I$3)/紫外線照射装置!$H$3),0)</f>
        <v>0</v>
      </c>
      <c r="R245" s="306">
        <f t="shared" si="65"/>
        <v>0</v>
      </c>
      <c r="S245" s="419">
        <f t="shared" si="66"/>
        <v>0</v>
      </c>
      <c r="T245" s="305">
        <f>IFERROR(SUMIF(超音波画像診断装置!$C$30:$C$74,B245,超音波画像診断装置!$K$30:$K$74)*((超音波画像診断装置!$H$3-超音波画像診断装置!$I$3)/超音波画像診断装置!$H$3),0)</f>
        <v>0</v>
      </c>
      <c r="U245" s="306">
        <f t="shared" si="67"/>
        <v>0</v>
      </c>
      <c r="V245" s="305">
        <f>IFERROR(SUMIF(血液浄化装置!$C$30:$C$74,B245,血液浄化装置!$K$30:$K$74)*((血液浄化装置!$H$3-血液浄化装置!$I$3)/血液浄化装置!$H$3),0)</f>
        <v>0</v>
      </c>
      <c r="W245" s="306">
        <f t="shared" si="68"/>
        <v>0</v>
      </c>
      <c r="X245" s="305">
        <f>IFERROR(SUMIF(気管支鏡!$C$30:$C$74,B245,気管支鏡!$K$30:$K$74)*((気管支鏡!$H$3-気管支鏡!$I$3)/気管支鏡!$H$3),0)</f>
        <v>0</v>
      </c>
      <c r="Y245" s="306">
        <f t="shared" si="54"/>
        <v>0</v>
      </c>
      <c r="Z245" s="305">
        <f>IFERROR(SUMIF(CT撮影装置!$C$30:$C$74,B245,CT撮影装置!$K$30:$K$74)*((CT撮影装置!$H$3-CT撮影装置!$I$3)/CT撮影装置!$H$3),0)</f>
        <v>0</v>
      </c>
      <c r="AA245" s="306">
        <f t="shared" si="69"/>
        <v>0</v>
      </c>
      <c r="AB245" s="305">
        <f>IFERROR(SUMIF(生体情報モニタ!$C$30:$C$74,B245,生体情報モニタ!$K$30:$K$74)*((生体情報モニタ!$H$3-生体情報モニタ!$I$3)/生体情報モニタ!$H$3),0)</f>
        <v>0</v>
      </c>
      <c r="AC245" s="306">
        <f t="shared" si="55"/>
        <v>0</v>
      </c>
      <c r="AD245" s="305">
        <f>IFERROR(SUMIF(分娩監視装置!$C$30:$C$74,B245,分娩監視装置!$K$30:$K$74)*((分娩監視装置!$H$3-分娩監視装置!$I$3)/分娩監視装置!$H$3),0)</f>
        <v>0</v>
      </c>
      <c r="AE245" s="306">
        <f t="shared" si="70"/>
        <v>0</v>
      </c>
      <c r="AF245" s="305">
        <f>IFERROR(SUMIF(新生児モニタ!$C$30:$C$74,B245,新生児モニタ!$K$30:$K$74)*((新生児モニタ!$H$3-新生児モニタ!$I$3)/新生児モニタ!$H$3),0)</f>
        <v>0</v>
      </c>
      <c r="AG245" s="306">
        <f t="shared" si="71"/>
        <v>0</v>
      </c>
    </row>
    <row r="246" spans="2:33">
      <c r="B246" s="283" t="s">
        <v>1059</v>
      </c>
      <c r="C246" s="305">
        <f>IFERROR(SUMIF(初度設備!$C$30:$C$74,B246,初度設備!$K$30:$K$74)*((初度設備!$H$3-初度設備!$I$3)/初度設備!$H$3),0)</f>
        <v>0</v>
      </c>
      <c r="D246" s="306">
        <f t="shared" si="56"/>
        <v>0</v>
      </c>
      <c r="E246" s="305">
        <f>IFERROR(SUMIF(人工呼吸器!$C$30:$C$74,B246,人工呼吸器!$K$30:$K$74)*((人工呼吸器!$H$3-人工呼吸器!$I$3)/人工呼吸器!$H$3),0)</f>
        <v>0</v>
      </c>
      <c r="F246" s="306">
        <f t="shared" si="57"/>
        <v>0</v>
      </c>
      <c r="G246" s="306">
        <f t="shared" si="58"/>
        <v>0</v>
      </c>
      <c r="H246" s="306">
        <f t="shared" si="59"/>
        <v>0</v>
      </c>
      <c r="I246" s="305">
        <f>IFERROR(SUMIF(簡易陰圧装置!$C$30:$C$74,B246,簡易陰圧装置!$K$30:$K$74)*((簡易陰圧装置!$H$3-簡易陰圧装置!$I$3)/簡易陰圧装置!$H$3),0)</f>
        <v>0</v>
      </c>
      <c r="J246" s="306">
        <f t="shared" si="60"/>
        <v>0</v>
      </c>
      <c r="K246" s="305">
        <f>IFERROR(SUMIF(簡易ベッド!$C$30:$C$74,B246,簡易ベッド!$K$30:$K$74)*((簡易ベッド!$H$3-簡易ベッド!$I$3)/簡易ベッド!$H$3),0)</f>
        <v>0</v>
      </c>
      <c r="L246" s="306">
        <f t="shared" si="61"/>
        <v>0</v>
      </c>
      <c r="M246" s="305">
        <f>IFERROR(SUMIF(体外式膜型人工肺!$C$30:$C$74,B246,体外式膜型人工肺!$K$30:$K$74)*((体外式膜型人工肺!$H$3-体外式膜型人工肺!$I$3)/体外式膜型人工肺!$H$3),0)</f>
        <v>0</v>
      </c>
      <c r="N246" s="306">
        <f t="shared" si="62"/>
        <v>0</v>
      </c>
      <c r="O246" s="306">
        <f t="shared" si="63"/>
        <v>0</v>
      </c>
      <c r="P246" s="306">
        <f t="shared" si="64"/>
        <v>0</v>
      </c>
      <c r="Q246" s="305">
        <f>IFERROR(SUMIF(紫外線照射装置!$C$30:$C$74,B246,紫外線照射装置!$K$30:$K$74)*((紫外線照射装置!$H$3-紫外線照射装置!$I$3)/紫外線照射装置!$H$3),0)</f>
        <v>0</v>
      </c>
      <c r="R246" s="306">
        <f t="shared" si="65"/>
        <v>0</v>
      </c>
      <c r="S246" s="419">
        <f t="shared" si="66"/>
        <v>0</v>
      </c>
      <c r="T246" s="305">
        <f>IFERROR(SUMIF(超音波画像診断装置!$C$30:$C$74,B246,超音波画像診断装置!$K$30:$K$74)*((超音波画像診断装置!$H$3-超音波画像診断装置!$I$3)/超音波画像診断装置!$H$3),0)</f>
        <v>0</v>
      </c>
      <c r="U246" s="306">
        <f t="shared" si="67"/>
        <v>0</v>
      </c>
      <c r="V246" s="305">
        <f>IFERROR(SUMIF(血液浄化装置!$C$30:$C$74,B246,血液浄化装置!$K$30:$K$74)*((血液浄化装置!$H$3-血液浄化装置!$I$3)/血液浄化装置!$H$3),0)</f>
        <v>0</v>
      </c>
      <c r="W246" s="306">
        <f t="shared" si="68"/>
        <v>0</v>
      </c>
      <c r="X246" s="305">
        <f>IFERROR(SUMIF(気管支鏡!$C$30:$C$74,B246,気管支鏡!$K$30:$K$74)*((気管支鏡!$H$3-気管支鏡!$I$3)/気管支鏡!$H$3),0)</f>
        <v>0</v>
      </c>
      <c r="Y246" s="306">
        <f t="shared" si="54"/>
        <v>0</v>
      </c>
      <c r="Z246" s="305">
        <f>IFERROR(SUMIF(CT撮影装置!$C$30:$C$74,B246,CT撮影装置!$K$30:$K$74)*((CT撮影装置!$H$3-CT撮影装置!$I$3)/CT撮影装置!$H$3),0)</f>
        <v>0</v>
      </c>
      <c r="AA246" s="306">
        <f t="shared" si="69"/>
        <v>0</v>
      </c>
      <c r="AB246" s="305">
        <f>IFERROR(SUMIF(生体情報モニタ!$C$30:$C$74,B246,生体情報モニタ!$K$30:$K$74)*((生体情報モニタ!$H$3-生体情報モニタ!$I$3)/生体情報モニタ!$H$3),0)</f>
        <v>0</v>
      </c>
      <c r="AC246" s="306">
        <f t="shared" si="55"/>
        <v>0</v>
      </c>
      <c r="AD246" s="305">
        <f>IFERROR(SUMIF(分娩監視装置!$C$30:$C$74,B246,分娩監視装置!$K$30:$K$74)*((分娩監視装置!$H$3-分娩監視装置!$I$3)/分娩監視装置!$H$3),0)</f>
        <v>0</v>
      </c>
      <c r="AE246" s="306">
        <f t="shared" si="70"/>
        <v>0</v>
      </c>
      <c r="AF246" s="305">
        <f>IFERROR(SUMIF(新生児モニタ!$C$30:$C$74,B246,新生児モニタ!$K$30:$K$74)*((新生児モニタ!$H$3-新生児モニタ!$I$3)/新生児モニタ!$H$3),0)</f>
        <v>0</v>
      </c>
      <c r="AG246" s="306">
        <f t="shared" si="71"/>
        <v>0</v>
      </c>
    </row>
    <row r="247" spans="2:33">
      <c r="B247" s="283" t="s">
        <v>1060</v>
      </c>
      <c r="C247" s="305">
        <f>IFERROR(SUMIF(初度設備!$C$30:$C$74,B247,初度設備!$K$30:$K$74)*((初度設備!$H$3-初度設備!$I$3)/初度設備!$H$3),0)</f>
        <v>0</v>
      </c>
      <c r="D247" s="306">
        <f t="shared" si="56"/>
        <v>0</v>
      </c>
      <c r="E247" s="305">
        <f>IFERROR(SUMIF(人工呼吸器!$C$30:$C$74,B247,人工呼吸器!$K$30:$K$74)*((人工呼吸器!$H$3-人工呼吸器!$I$3)/人工呼吸器!$H$3),0)</f>
        <v>0</v>
      </c>
      <c r="F247" s="306">
        <f t="shared" si="57"/>
        <v>0</v>
      </c>
      <c r="G247" s="306">
        <f t="shared" si="58"/>
        <v>0</v>
      </c>
      <c r="H247" s="306">
        <f t="shared" si="59"/>
        <v>0</v>
      </c>
      <c r="I247" s="305">
        <f>IFERROR(SUMIF(簡易陰圧装置!$C$30:$C$74,B247,簡易陰圧装置!$K$30:$K$74)*((簡易陰圧装置!$H$3-簡易陰圧装置!$I$3)/簡易陰圧装置!$H$3),0)</f>
        <v>0</v>
      </c>
      <c r="J247" s="306">
        <f t="shared" si="60"/>
        <v>0</v>
      </c>
      <c r="K247" s="305">
        <f>IFERROR(SUMIF(簡易ベッド!$C$30:$C$74,B247,簡易ベッド!$K$30:$K$74)*((簡易ベッド!$H$3-簡易ベッド!$I$3)/簡易ベッド!$H$3),0)</f>
        <v>0</v>
      </c>
      <c r="L247" s="306">
        <f t="shared" si="61"/>
        <v>0</v>
      </c>
      <c r="M247" s="305">
        <f>IFERROR(SUMIF(体外式膜型人工肺!$C$30:$C$74,B247,体外式膜型人工肺!$K$30:$K$74)*((体外式膜型人工肺!$H$3-体外式膜型人工肺!$I$3)/体外式膜型人工肺!$H$3),0)</f>
        <v>0</v>
      </c>
      <c r="N247" s="306">
        <f t="shared" si="62"/>
        <v>0</v>
      </c>
      <c r="O247" s="306">
        <f t="shared" si="63"/>
        <v>0</v>
      </c>
      <c r="P247" s="306">
        <f t="shared" si="64"/>
        <v>0</v>
      </c>
      <c r="Q247" s="305">
        <f>IFERROR(SUMIF(紫外線照射装置!$C$30:$C$74,B247,紫外線照射装置!$K$30:$K$74)*((紫外線照射装置!$H$3-紫外線照射装置!$I$3)/紫外線照射装置!$H$3),0)</f>
        <v>0</v>
      </c>
      <c r="R247" s="306">
        <f t="shared" si="65"/>
        <v>0</v>
      </c>
      <c r="S247" s="419">
        <f t="shared" si="66"/>
        <v>0</v>
      </c>
      <c r="T247" s="305">
        <f>IFERROR(SUMIF(超音波画像診断装置!$C$30:$C$74,B247,超音波画像診断装置!$K$30:$K$74)*((超音波画像診断装置!$H$3-超音波画像診断装置!$I$3)/超音波画像診断装置!$H$3),0)</f>
        <v>0</v>
      </c>
      <c r="U247" s="306">
        <f t="shared" si="67"/>
        <v>0</v>
      </c>
      <c r="V247" s="305">
        <f>IFERROR(SUMIF(血液浄化装置!$C$30:$C$74,B247,血液浄化装置!$K$30:$K$74)*((血液浄化装置!$H$3-血液浄化装置!$I$3)/血液浄化装置!$H$3),0)</f>
        <v>0</v>
      </c>
      <c r="W247" s="306">
        <f t="shared" si="68"/>
        <v>0</v>
      </c>
      <c r="X247" s="305">
        <f>IFERROR(SUMIF(気管支鏡!$C$30:$C$74,B247,気管支鏡!$K$30:$K$74)*((気管支鏡!$H$3-気管支鏡!$I$3)/気管支鏡!$H$3),0)</f>
        <v>0</v>
      </c>
      <c r="Y247" s="306">
        <f t="shared" si="54"/>
        <v>0</v>
      </c>
      <c r="Z247" s="305">
        <f>IFERROR(SUMIF(CT撮影装置!$C$30:$C$74,B247,CT撮影装置!$K$30:$K$74)*((CT撮影装置!$H$3-CT撮影装置!$I$3)/CT撮影装置!$H$3),0)</f>
        <v>0</v>
      </c>
      <c r="AA247" s="306">
        <f t="shared" si="69"/>
        <v>0</v>
      </c>
      <c r="AB247" s="305">
        <f>IFERROR(SUMIF(生体情報モニタ!$C$30:$C$74,B247,生体情報モニタ!$K$30:$K$74)*((生体情報モニタ!$H$3-生体情報モニタ!$I$3)/生体情報モニタ!$H$3),0)</f>
        <v>0</v>
      </c>
      <c r="AC247" s="306">
        <f t="shared" si="55"/>
        <v>0</v>
      </c>
      <c r="AD247" s="305">
        <f>IFERROR(SUMIF(分娩監視装置!$C$30:$C$74,B247,分娩監視装置!$K$30:$K$74)*((分娩監視装置!$H$3-分娩監視装置!$I$3)/分娩監視装置!$H$3),0)</f>
        <v>0</v>
      </c>
      <c r="AE247" s="306">
        <f t="shared" si="70"/>
        <v>0</v>
      </c>
      <c r="AF247" s="305">
        <f>IFERROR(SUMIF(新生児モニタ!$C$30:$C$74,B247,新生児モニタ!$K$30:$K$74)*((新生児モニタ!$H$3-新生児モニタ!$I$3)/新生児モニタ!$H$3),0)</f>
        <v>0</v>
      </c>
      <c r="AG247" s="306">
        <f t="shared" si="71"/>
        <v>0</v>
      </c>
    </row>
    <row r="248" spans="2:33">
      <c r="B248" s="283" t="s">
        <v>1061</v>
      </c>
      <c r="C248" s="305">
        <f>IFERROR(SUMIF(初度設備!$C$30:$C$74,B248,初度設備!$K$30:$K$74)*((初度設備!$H$3-初度設備!$I$3)/初度設備!$H$3),0)</f>
        <v>0</v>
      </c>
      <c r="D248" s="306">
        <f t="shared" si="56"/>
        <v>0</v>
      </c>
      <c r="E248" s="305">
        <f>IFERROR(SUMIF(人工呼吸器!$C$30:$C$74,B248,人工呼吸器!$K$30:$K$74)*((人工呼吸器!$H$3-人工呼吸器!$I$3)/人工呼吸器!$H$3),0)</f>
        <v>0</v>
      </c>
      <c r="F248" s="306">
        <f t="shared" si="57"/>
        <v>0</v>
      </c>
      <c r="G248" s="306">
        <f t="shared" si="58"/>
        <v>0</v>
      </c>
      <c r="H248" s="306">
        <f t="shared" si="59"/>
        <v>0</v>
      </c>
      <c r="I248" s="305">
        <f>IFERROR(SUMIF(簡易陰圧装置!$C$30:$C$74,B248,簡易陰圧装置!$K$30:$K$74)*((簡易陰圧装置!$H$3-簡易陰圧装置!$I$3)/簡易陰圧装置!$H$3),0)</f>
        <v>0</v>
      </c>
      <c r="J248" s="306">
        <f t="shared" si="60"/>
        <v>0</v>
      </c>
      <c r="K248" s="305">
        <f>IFERROR(SUMIF(簡易ベッド!$C$30:$C$74,B248,簡易ベッド!$K$30:$K$74)*((簡易ベッド!$H$3-簡易ベッド!$I$3)/簡易ベッド!$H$3),0)</f>
        <v>0</v>
      </c>
      <c r="L248" s="306">
        <f t="shared" si="61"/>
        <v>0</v>
      </c>
      <c r="M248" s="305">
        <f>IFERROR(SUMIF(体外式膜型人工肺!$C$30:$C$74,B248,体外式膜型人工肺!$K$30:$K$74)*((体外式膜型人工肺!$H$3-体外式膜型人工肺!$I$3)/体外式膜型人工肺!$H$3),0)</f>
        <v>0</v>
      </c>
      <c r="N248" s="306">
        <f t="shared" si="62"/>
        <v>0</v>
      </c>
      <c r="O248" s="306">
        <f t="shared" si="63"/>
        <v>0</v>
      </c>
      <c r="P248" s="306">
        <f t="shared" si="64"/>
        <v>0</v>
      </c>
      <c r="Q248" s="305">
        <f>IFERROR(SUMIF(紫外線照射装置!$C$30:$C$74,B248,紫外線照射装置!$K$30:$K$74)*((紫外線照射装置!$H$3-紫外線照射装置!$I$3)/紫外線照射装置!$H$3),0)</f>
        <v>0</v>
      </c>
      <c r="R248" s="306">
        <f t="shared" si="65"/>
        <v>0</v>
      </c>
      <c r="S248" s="419">
        <f t="shared" si="66"/>
        <v>0</v>
      </c>
      <c r="T248" s="305">
        <f>IFERROR(SUMIF(超音波画像診断装置!$C$30:$C$74,B248,超音波画像診断装置!$K$30:$K$74)*((超音波画像診断装置!$H$3-超音波画像診断装置!$I$3)/超音波画像診断装置!$H$3),0)</f>
        <v>0</v>
      </c>
      <c r="U248" s="306">
        <f t="shared" si="67"/>
        <v>0</v>
      </c>
      <c r="V248" s="305">
        <f>IFERROR(SUMIF(血液浄化装置!$C$30:$C$74,B248,血液浄化装置!$K$30:$K$74)*((血液浄化装置!$H$3-血液浄化装置!$I$3)/血液浄化装置!$H$3),0)</f>
        <v>0</v>
      </c>
      <c r="W248" s="306">
        <f t="shared" si="68"/>
        <v>0</v>
      </c>
      <c r="X248" s="305">
        <f>IFERROR(SUMIF(気管支鏡!$C$30:$C$74,B248,気管支鏡!$K$30:$K$74)*((気管支鏡!$H$3-気管支鏡!$I$3)/気管支鏡!$H$3),0)</f>
        <v>0</v>
      </c>
      <c r="Y248" s="306">
        <f t="shared" si="54"/>
        <v>0</v>
      </c>
      <c r="Z248" s="305">
        <f>IFERROR(SUMIF(CT撮影装置!$C$30:$C$74,B248,CT撮影装置!$K$30:$K$74)*((CT撮影装置!$H$3-CT撮影装置!$I$3)/CT撮影装置!$H$3),0)</f>
        <v>0</v>
      </c>
      <c r="AA248" s="306">
        <f t="shared" si="69"/>
        <v>0</v>
      </c>
      <c r="AB248" s="305">
        <f>IFERROR(SUMIF(生体情報モニタ!$C$30:$C$74,B248,生体情報モニタ!$K$30:$K$74)*((生体情報モニタ!$H$3-生体情報モニタ!$I$3)/生体情報モニタ!$H$3),0)</f>
        <v>0</v>
      </c>
      <c r="AC248" s="306">
        <f t="shared" si="55"/>
        <v>0</v>
      </c>
      <c r="AD248" s="305">
        <f>IFERROR(SUMIF(分娩監視装置!$C$30:$C$74,B248,分娩監視装置!$K$30:$K$74)*((分娩監視装置!$H$3-分娩監視装置!$I$3)/分娩監視装置!$H$3),0)</f>
        <v>0</v>
      </c>
      <c r="AE248" s="306">
        <f t="shared" si="70"/>
        <v>0</v>
      </c>
      <c r="AF248" s="305">
        <f>IFERROR(SUMIF(新生児モニタ!$C$30:$C$74,B248,新生児モニタ!$K$30:$K$74)*((新生児モニタ!$H$3-新生児モニタ!$I$3)/新生児モニタ!$H$3),0)</f>
        <v>0</v>
      </c>
      <c r="AG248" s="306">
        <f t="shared" si="71"/>
        <v>0</v>
      </c>
    </row>
    <row r="249" spans="2:33">
      <c r="B249" s="283" t="s">
        <v>1062</v>
      </c>
      <c r="C249" s="305">
        <f>IFERROR(SUMIF(初度設備!$C$30:$C$74,B249,初度設備!$K$30:$K$74)*((初度設備!$H$3-初度設備!$I$3)/初度設備!$H$3),0)</f>
        <v>0</v>
      </c>
      <c r="D249" s="306">
        <f t="shared" si="56"/>
        <v>0</v>
      </c>
      <c r="E249" s="305">
        <f>IFERROR(SUMIF(人工呼吸器!$C$30:$C$74,B249,人工呼吸器!$K$30:$K$74)*((人工呼吸器!$H$3-人工呼吸器!$I$3)/人工呼吸器!$H$3),0)</f>
        <v>0</v>
      </c>
      <c r="F249" s="306">
        <f t="shared" si="57"/>
        <v>0</v>
      </c>
      <c r="G249" s="306">
        <f t="shared" si="58"/>
        <v>0</v>
      </c>
      <c r="H249" s="306">
        <f t="shared" si="59"/>
        <v>0</v>
      </c>
      <c r="I249" s="305">
        <f>IFERROR(SUMIF(簡易陰圧装置!$C$30:$C$74,B249,簡易陰圧装置!$K$30:$K$74)*((簡易陰圧装置!$H$3-簡易陰圧装置!$I$3)/簡易陰圧装置!$H$3),0)</f>
        <v>0</v>
      </c>
      <c r="J249" s="306">
        <f t="shared" si="60"/>
        <v>0</v>
      </c>
      <c r="K249" s="305">
        <f>IFERROR(SUMIF(簡易ベッド!$C$30:$C$74,B249,簡易ベッド!$K$30:$K$74)*((簡易ベッド!$H$3-簡易ベッド!$I$3)/簡易ベッド!$H$3),0)</f>
        <v>0</v>
      </c>
      <c r="L249" s="306">
        <f t="shared" si="61"/>
        <v>0</v>
      </c>
      <c r="M249" s="305">
        <f>IFERROR(SUMIF(体外式膜型人工肺!$C$30:$C$74,B249,体外式膜型人工肺!$K$30:$K$74)*((体外式膜型人工肺!$H$3-体外式膜型人工肺!$I$3)/体外式膜型人工肺!$H$3),0)</f>
        <v>0</v>
      </c>
      <c r="N249" s="306">
        <f t="shared" si="62"/>
        <v>0</v>
      </c>
      <c r="O249" s="306">
        <f t="shared" si="63"/>
        <v>0</v>
      </c>
      <c r="P249" s="306">
        <f t="shared" si="64"/>
        <v>0</v>
      </c>
      <c r="Q249" s="305">
        <f>IFERROR(SUMIF(紫外線照射装置!$C$30:$C$74,B249,紫外線照射装置!$K$30:$K$74)*((紫外線照射装置!$H$3-紫外線照射装置!$I$3)/紫外線照射装置!$H$3),0)</f>
        <v>0</v>
      </c>
      <c r="R249" s="306">
        <f t="shared" si="65"/>
        <v>0</v>
      </c>
      <c r="S249" s="419">
        <f t="shared" si="66"/>
        <v>0</v>
      </c>
      <c r="T249" s="305">
        <f>IFERROR(SUMIF(超音波画像診断装置!$C$30:$C$74,B249,超音波画像診断装置!$K$30:$K$74)*((超音波画像診断装置!$H$3-超音波画像診断装置!$I$3)/超音波画像診断装置!$H$3),0)</f>
        <v>0</v>
      </c>
      <c r="U249" s="306">
        <f t="shared" si="67"/>
        <v>0</v>
      </c>
      <c r="V249" s="305">
        <f>IFERROR(SUMIF(血液浄化装置!$C$30:$C$74,B249,血液浄化装置!$K$30:$K$74)*((血液浄化装置!$H$3-血液浄化装置!$I$3)/血液浄化装置!$H$3),0)</f>
        <v>0</v>
      </c>
      <c r="W249" s="306">
        <f t="shared" si="68"/>
        <v>0</v>
      </c>
      <c r="X249" s="305">
        <f>IFERROR(SUMIF(気管支鏡!$C$30:$C$74,B249,気管支鏡!$K$30:$K$74)*((気管支鏡!$H$3-気管支鏡!$I$3)/気管支鏡!$H$3),0)</f>
        <v>0</v>
      </c>
      <c r="Y249" s="306">
        <f t="shared" si="54"/>
        <v>0</v>
      </c>
      <c r="Z249" s="305">
        <f>IFERROR(SUMIF(CT撮影装置!$C$30:$C$74,B249,CT撮影装置!$K$30:$K$74)*((CT撮影装置!$H$3-CT撮影装置!$I$3)/CT撮影装置!$H$3),0)</f>
        <v>0</v>
      </c>
      <c r="AA249" s="306">
        <f t="shared" si="69"/>
        <v>0</v>
      </c>
      <c r="AB249" s="305">
        <f>IFERROR(SUMIF(生体情報モニタ!$C$30:$C$74,B249,生体情報モニタ!$K$30:$K$74)*((生体情報モニタ!$H$3-生体情報モニタ!$I$3)/生体情報モニタ!$H$3),0)</f>
        <v>0</v>
      </c>
      <c r="AC249" s="306">
        <f t="shared" si="55"/>
        <v>0</v>
      </c>
      <c r="AD249" s="305">
        <f>IFERROR(SUMIF(分娩監視装置!$C$30:$C$74,B249,分娩監視装置!$K$30:$K$74)*((分娩監視装置!$H$3-分娩監視装置!$I$3)/分娩監視装置!$H$3),0)</f>
        <v>0</v>
      </c>
      <c r="AE249" s="306">
        <f t="shared" si="70"/>
        <v>0</v>
      </c>
      <c r="AF249" s="305">
        <f>IFERROR(SUMIF(新生児モニタ!$C$30:$C$74,B249,新生児モニタ!$K$30:$K$74)*((新生児モニタ!$H$3-新生児モニタ!$I$3)/新生児モニタ!$H$3),0)</f>
        <v>0</v>
      </c>
      <c r="AG249" s="306">
        <f t="shared" si="71"/>
        <v>0</v>
      </c>
    </row>
    <row r="250" spans="2:33">
      <c r="B250" s="283" t="s">
        <v>1063</v>
      </c>
      <c r="C250" s="305">
        <f>IFERROR(SUMIF(初度設備!$C$30:$C$74,B250,初度設備!$K$30:$K$74)*((初度設備!$H$3-初度設備!$I$3)/初度設備!$H$3),0)</f>
        <v>0</v>
      </c>
      <c r="D250" s="306">
        <f t="shared" si="56"/>
        <v>0</v>
      </c>
      <c r="E250" s="305">
        <f>IFERROR(SUMIF(人工呼吸器!$C$30:$C$74,B250,人工呼吸器!$K$30:$K$74)*((人工呼吸器!$H$3-人工呼吸器!$I$3)/人工呼吸器!$H$3),0)</f>
        <v>0</v>
      </c>
      <c r="F250" s="306">
        <f t="shared" si="57"/>
        <v>0</v>
      </c>
      <c r="G250" s="306">
        <f t="shared" si="58"/>
        <v>0</v>
      </c>
      <c r="H250" s="306">
        <f t="shared" si="59"/>
        <v>0</v>
      </c>
      <c r="I250" s="305">
        <f>IFERROR(SUMIF(簡易陰圧装置!$C$30:$C$74,B250,簡易陰圧装置!$K$30:$K$74)*((簡易陰圧装置!$H$3-簡易陰圧装置!$I$3)/簡易陰圧装置!$H$3),0)</f>
        <v>0</v>
      </c>
      <c r="J250" s="306">
        <f t="shared" si="60"/>
        <v>0</v>
      </c>
      <c r="K250" s="305">
        <f>IFERROR(SUMIF(簡易ベッド!$C$30:$C$74,B250,簡易ベッド!$K$30:$K$74)*((簡易ベッド!$H$3-簡易ベッド!$I$3)/簡易ベッド!$H$3),0)</f>
        <v>0</v>
      </c>
      <c r="L250" s="306">
        <f t="shared" si="61"/>
        <v>0</v>
      </c>
      <c r="M250" s="305">
        <f>IFERROR(SUMIF(体外式膜型人工肺!$C$30:$C$74,B250,体外式膜型人工肺!$K$30:$K$74)*((体外式膜型人工肺!$H$3-体外式膜型人工肺!$I$3)/体外式膜型人工肺!$H$3),0)</f>
        <v>0</v>
      </c>
      <c r="N250" s="306">
        <f t="shared" si="62"/>
        <v>0</v>
      </c>
      <c r="O250" s="306">
        <f t="shared" si="63"/>
        <v>0</v>
      </c>
      <c r="P250" s="306">
        <f t="shared" si="64"/>
        <v>0</v>
      </c>
      <c r="Q250" s="305">
        <f>IFERROR(SUMIF(紫外線照射装置!$C$30:$C$74,B250,紫外線照射装置!$K$30:$K$74)*((紫外線照射装置!$H$3-紫外線照射装置!$I$3)/紫外線照射装置!$H$3),0)</f>
        <v>0</v>
      </c>
      <c r="R250" s="306">
        <f t="shared" si="65"/>
        <v>0</v>
      </c>
      <c r="S250" s="419">
        <f t="shared" si="66"/>
        <v>0</v>
      </c>
      <c r="T250" s="305">
        <f>IFERROR(SUMIF(超音波画像診断装置!$C$30:$C$74,B250,超音波画像診断装置!$K$30:$K$74)*((超音波画像診断装置!$H$3-超音波画像診断装置!$I$3)/超音波画像診断装置!$H$3),0)</f>
        <v>0</v>
      </c>
      <c r="U250" s="306">
        <f t="shared" si="67"/>
        <v>0</v>
      </c>
      <c r="V250" s="305">
        <f>IFERROR(SUMIF(血液浄化装置!$C$30:$C$74,B250,血液浄化装置!$K$30:$K$74)*((血液浄化装置!$H$3-血液浄化装置!$I$3)/血液浄化装置!$H$3),0)</f>
        <v>0</v>
      </c>
      <c r="W250" s="306">
        <f t="shared" si="68"/>
        <v>0</v>
      </c>
      <c r="X250" s="305">
        <f>IFERROR(SUMIF(気管支鏡!$C$30:$C$74,B250,気管支鏡!$K$30:$K$74)*((気管支鏡!$H$3-気管支鏡!$I$3)/気管支鏡!$H$3),0)</f>
        <v>0</v>
      </c>
      <c r="Y250" s="306">
        <f t="shared" si="54"/>
        <v>0</v>
      </c>
      <c r="Z250" s="305">
        <f>IFERROR(SUMIF(CT撮影装置!$C$30:$C$74,B250,CT撮影装置!$K$30:$K$74)*((CT撮影装置!$H$3-CT撮影装置!$I$3)/CT撮影装置!$H$3),0)</f>
        <v>0</v>
      </c>
      <c r="AA250" s="306">
        <f t="shared" si="69"/>
        <v>0</v>
      </c>
      <c r="AB250" s="305">
        <f>IFERROR(SUMIF(生体情報モニタ!$C$30:$C$74,B250,生体情報モニタ!$K$30:$K$74)*((生体情報モニタ!$H$3-生体情報モニタ!$I$3)/生体情報モニタ!$H$3),0)</f>
        <v>0</v>
      </c>
      <c r="AC250" s="306">
        <f t="shared" si="55"/>
        <v>0</v>
      </c>
      <c r="AD250" s="305">
        <f>IFERROR(SUMIF(分娩監視装置!$C$30:$C$74,B250,分娩監視装置!$K$30:$K$74)*((分娩監視装置!$H$3-分娩監視装置!$I$3)/分娩監視装置!$H$3),0)</f>
        <v>0</v>
      </c>
      <c r="AE250" s="306">
        <f t="shared" si="70"/>
        <v>0</v>
      </c>
      <c r="AF250" s="305">
        <f>IFERROR(SUMIF(新生児モニタ!$C$30:$C$74,B250,新生児モニタ!$K$30:$K$74)*((新生児モニタ!$H$3-新生児モニタ!$I$3)/新生児モニタ!$H$3),0)</f>
        <v>0</v>
      </c>
      <c r="AG250" s="306">
        <f t="shared" si="71"/>
        <v>0</v>
      </c>
    </row>
    <row r="251" spans="2:33">
      <c r="B251" s="283" t="s">
        <v>1064</v>
      </c>
      <c r="C251" s="305">
        <f>IFERROR(SUMIF(初度設備!$C$30:$C$74,B251,初度設備!$K$30:$K$74)*((初度設備!$H$3-初度設備!$I$3)/初度設備!$H$3),0)</f>
        <v>0</v>
      </c>
      <c r="D251" s="306">
        <f t="shared" si="56"/>
        <v>0</v>
      </c>
      <c r="E251" s="305">
        <f>IFERROR(SUMIF(人工呼吸器!$C$30:$C$74,B251,人工呼吸器!$K$30:$K$74)*((人工呼吸器!$H$3-人工呼吸器!$I$3)/人工呼吸器!$H$3),0)</f>
        <v>0</v>
      </c>
      <c r="F251" s="306">
        <f t="shared" si="57"/>
        <v>0</v>
      </c>
      <c r="G251" s="306">
        <f t="shared" si="58"/>
        <v>0</v>
      </c>
      <c r="H251" s="306">
        <f t="shared" si="59"/>
        <v>0</v>
      </c>
      <c r="I251" s="305">
        <f>IFERROR(SUMIF(簡易陰圧装置!$C$30:$C$74,B251,簡易陰圧装置!$K$30:$K$74)*((簡易陰圧装置!$H$3-簡易陰圧装置!$I$3)/簡易陰圧装置!$H$3),0)</f>
        <v>0</v>
      </c>
      <c r="J251" s="306">
        <f t="shared" si="60"/>
        <v>0</v>
      </c>
      <c r="K251" s="305">
        <f>IFERROR(SUMIF(簡易ベッド!$C$30:$C$74,B251,簡易ベッド!$K$30:$K$74)*((簡易ベッド!$H$3-簡易ベッド!$I$3)/簡易ベッド!$H$3),0)</f>
        <v>0</v>
      </c>
      <c r="L251" s="306">
        <f t="shared" si="61"/>
        <v>0</v>
      </c>
      <c r="M251" s="305">
        <f>IFERROR(SUMIF(体外式膜型人工肺!$C$30:$C$74,B251,体外式膜型人工肺!$K$30:$K$74)*((体外式膜型人工肺!$H$3-体外式膜型人工肺!$I$3)/体外式膜型人工肺!$H$3),0)</f>
        <v>0</v>
      </c>
      <c r="N251" s="306">
        <f t="shared" si="62"/>
        <v>0</v>
      </c>
      <c r="O251" s="306">
        <f t="shared" si="63"/>
        <v>0</v>
      </c>
      <c r="P251" s="306">
        <f t="shared" si="64"/>
        <v>0</v>
      </c>
      <c r="Q251" s="305">
        <f>IFERROR(SUMIF(紫外線照射装置!$C$30:$C$74,B251,紫外線照射装置!$K$30:$K$74)*((紫外線照射装置!$H$3-紫外線照射装置!$I$3)/紫外線照射装置!$H$3),0)</f>
        <v>0</v>
      </c>
      <c r="R251" s="306">
        <f t="shared" si="65"/>
        <v>0</v>
      </c>
      <c r="S251" s="419">
        <f t="shared" si="66"/>
        <v>0</v>
      </c>
      <c r="T251" s="305">
        <f>IFERROR(SUMIF(超音波画像診断装置!$C$30:$C$74,B251,超音波画像診断装置!$K$30:$K$74)*((超音波画像診断装置!$H$3-超音波画像診断装置!$I$3)/超音波画像診断装置!$H$3),0)</f>
        <v>0</v>
      </c>
      <c r="U251" s="306">
        <f t="shared" si="67"/>
        <v>0</v>
      </c>
      <c r="V251" s="305">
        <f>IFERROR(SUMIF(血液浄化装置!$C$30:$C$74,B251,血液浄化装置!$K$30:$K$74)*((血液浄化装置!$H$3-血液浄化装置!$I$3)/血液浄化装置!$H$3),0)</f>
        <v>0</v>
      </c>
      <c r="W251" s="306">
        <f t="shared" si="68"/>
        <v>0</v>
      </c>
      <c r="X251" s="305">
        <f>IFERROR(SUMIF(気管支鏡!$C$30:$C$74,B251,気管支鏡!$K$30:$K$74)*((気管支鏡!$H$3-気管支鏡!$I$3)/気管支鏡!$H$3),0)</f>
        <v>0</v>
      </c>
      <c r="Y251" s="306">
        <f t="shared" si="54"/>
        <v>0</v>
      </c>
      <c r="Z251" s="305">
        <f>IFERROR(SUMIF(CT撮影装置!$C$30:$C$74,B251,CT撮影装置!$K$30:$K$74)*((CT撮影装置!$H$3-CT撮影装置!$I$3)/CT撮影装置!$H$3),0)</f>
        <v>0</v>
      </c>
      <c r="AA251" s="306">
        <f t="shared" si="69"/>
        <v>0</v>
      </c>
      <c r="AB251" s="305">
        <f>IFERROR(SUMIF(生体情報モニタ!$C$30:$C$74,B251,生体情報モニタ!$K$30:$K$74)*((生体情報モニタ!$H$3-生体情報モニタ!$I$3)/生体情報モニタ!$H$3),0)</f>
        <v>0</v>
      </c>
      <c r="AC251" s="306">
        <f t="shared" si="55"/>
        <v>0</v>
      </c>
      <c r="AD251" s="305">
        <f>IFERROR(SUMIF(分娩監視装置!$C$30:$C$74,B251,分娩監視装置!$K$30:$K$74)*((分娩監視装置!$H$3-分娩監視装置!$I$3)/分娩監視装置!$H$3),0)</f>
        <v>0</v>
      </c>
      <c r="AE251" s="306">
        <f t="shared" si="70"/>
        <v>0</v>
      </c>
      <c r="AF251" s="305">
        <f>IFERROR(SUMIF(新生児モニタ!$C$30:$C$74,B251,新生児モニタ!$K$30:$K$74)*((新生児モニタ!$H$3-新生児モニタ!$I$3)/新生児モニタ!$H$3),0)</f>
        <v>0</v>
      </c>
      <c r="AG251" s="306">
        <f t="shared" si="71"/>
        <v>0</v>
      </c>
    </row>
    <row r="252" spans="2:33">
      <c r="B252" s="283" t="s">
        <v>1065</v>
      </c>
      <c r="C252" s="305">
        <f>IFERROR(SUMIF(初度設備!$C$30:$C$74,B252,初度設備!$K$30:$K$74)*((初度設備!$H$3-初度設備!$I$3)/初度設備!$H$3),0)</f>
        <v>0</v>
      </c>
      <c r="D252" s="306">
        <f t="shared" si="56"/>
        <v>0</v>
      </c>
      <c r="E252" s="305">
        <f>IFERROR(SUMIF(人工呼吸器!$C$30:$C$74,B252,人工呼吸器!$K$30:$K$74)*((人工呼吸器!$H$3-人工呼吸器!$I$3)/人工呼吸器!$H$3),0)</f>
        <v>0</v>
      </c>
      <c r="F252" s="306">
        <f t="shared" si="57"/>
        <v>0</v>
      </c>
      <c r="G252" s="306">
        <f t="shared" si="58"/>
        <v>0</v>
      </c>
      <c r="H252" s="306">
        <f t="shared" si="59"/>
        <v>0</v>
      </c>
      <c r="I252" s="305">
        <f>IFERROR(SUMIF(簡易陰圧装置!$C$30:$C$74,B252,簡易陰圧装置!$K$30:$K$74)*((簡易陰圧装置!$H$3-簡易陰圧装置!$I$3)/簡易陰圧装置!$H$3),0)</f>
        <v>0</v>
      </c>
      <c r="J252" s="306">
        <f t="shared" si="60"/>
        <v>0</v>
      </c>
      <c r="K252" s="305">
        <f>IFERROR(SUMIF(簡易ベッド!$C$30:$C$74,B252,簡易ベッド!$K$30:$K$74)*((簡易ベッド!$H$3-簡易ベッド!$I$3)/簡易ベッド!$H$3),0)</f>
        <v>0</v>
      </c>
      <c r="L252" s="306">
        <f t="shared" si="61"/>
        <v>0</v>
      </c>
      <c r="M252" s="305">
        <f>IFERROR(SUMIF(体外式膜型人工肺!$C$30:$C$74,B252,体外式膜型人工肺!$K$30:$K$74)*((体外式膜型人工肺!$H$3-体外式膜型人工肺!$I$3)/体外式膜型人工肺!$H$3),0)</f>
        <v>0</v>
      </c>
      <c r="N252" s="306">
        <f t="shared" si="62"/>
        <v>0</v>
      </c>
      <c r="O252" s="306">
        <f t="shared" si="63"/>
        <v>0</v>
      </c>
      <c r="P252" s="306">
        <f t="shared" si="64"/>
        <v>0</v>
      </c>
      <c r="Q252" s="305">
        <f>IFERROR(SUMIF(紫外線照射装置!$C$30:$C$74,B252,紫外線照射装置!$K$30:$K$74)*((紫外線照射装置!$H$3-紫外線照射装置!$I$3)/紫外線照射装置!$H$3),0)</f>
        <v>0</v>
      </c>
      <c r="R252" s="306">
        <f t="shared" si="65"/>
        <v>0</v>
      </c>
      <c r="S252" s="419">
        <f t="shared" si="66"/>
        <v>0</v>
      </c>
      <c r="T252" s="305">
        <f>IFERROR(SUMIF(超音波画像診断装置!$C$30:$C$74,B252,超音波画像診断装置!$K$30:$K$74)*((超音波画像診断装置!$H$3-超音波画像診断装置!$I$3)/超音波画像診断装置!$H$3),0)</f>
        <v>0</v>
      </c>
      <c r="U252" s="306">
        <f t="shared" si="67"/>
        <v>0</v>
      </c>
      <c r="V252" s="305">
        <f>IFERROR(SUMIF(血液浄化装置!$C$30:$C$74,B252,血液浄化装置!$K$30:$K$74)*((血液浄化装置!$H$3-血液浄化装置!$I$3)/血液浄化装置!$H$3),0)</f>
        <v>0</v>
      </c>
      <c r="W252" s="306">
        <f t="shared" si="68"/>
        <v>0</v>
      </c>
      <c r="X252" s="305">
        <f>IFERROR(SUMIF(気管支鏡!$C$30:$C$74,B252,気管支鏡!$K$30:$K$74)*((気管支鏡!$H$3-気管支鏡!$I$3)/気管支鏡!$H$3),0)</f>
        <v>0</v>
      </c>
      <c r="Y252" s="306">
        <f t="shared" si="54"/>
        <v>0</v>
      </c>
      <c r="Z252" s="305">
        <f>IFERROR(SUMIF(CT撮影装置!$C$30:$C$74,B252,CT撮影装置!$K$30:$K$74)*((CT撮影装置!$H$3-CT撮影装置!$I$3)/CT撮影装置!$H$3),0)</f>
        <v>0</v>
      </c>
      <c r="AA252" s="306">
        <f t="shared" si="69"/>
        <v>0</v>
      </c>
      <c r="AB252" s="305">
        <f>IFERROR(SUMIF(生体情報モニタ!$C$30:$C$74,B252,生体情報モニタ!$K$30:$K$74)*((生体情報モニタ!$H$3-生体情報モニタ!$I$3)/生体情報モニタ!$H$3),0)</f>
        <v>0</v>
      </c>
      <c r="AC252" s="306">
        <f t="shared" si="55"/>
        <v>0</v>
      </c>
      <c r="AD252" s="305">
        <f>IFERROR(SUMIF(分娩監視装置!$C$30:$C$74,B252,分娩監視装置!$K$30:$K$74)*((分娩監視装置!$H$3-分娩監視装置!$I$3)/分娩監視装置!$H$3),0)</f>
        <v>0</v>
      </c>
      <c r="AE252" s="306">
        <f t="shared" si="70"/>
        <v>0</v>
      </c>
      <c r="AF252" s="305">
        <f>IFERROR(SUMIF(新生児モニタ!$C$30:$C$74,B252,新生児モニタ!$K$30:$K$74)*((新生児モニタ!$H$3-新生児モニタ!$I$3)/新生児モニタ!$H$3),0)</f>
        <v>0</v>
      </c>
      <c r="AG252" s="306">
        <f t="shared" si="71"/>
        <v>0</v>
      </c>
    </row>
    <row r="253" spans="2:33">
      <c r="B253" s="283" t="s">
        <v>1066</v>
      </c>
      <c r="C253" s="305">
        <f>IFERROR(SUMIF(初度設備!$C$30:$C$74,B253,初度設備!$K$30:$K$74)*((初度設備!$H$3-初度設備!$I$3)/初度設備!$H$3),0)</f>
        <v>0</v>
      </c>
      <c r="D253" s="306">
        <f t="shared" si="56"/>
        <v>0</v>
      </c>
      <c r="E253" s="305">
        <f>IFERROR(SUMIF(人工呼吸器!$C$30:$C$74,B253,人工呼吸器!$K$30:$K$74)*((人工呼吸器!$H$3-人工呼吸器!$I$3)/人工呼吸器!$H$3),0)</f>
        <v>0</v>
      </c>
      <c r="F253" s="306">
        <f t="shared" si="57"/>
        <v>0</v>
      </c>
      <c r="G253" s="306">
        <f t="shared" si="58"/>
        <v>0</v>
      </c>
      <c r="H253" s="306">
        <f t="shared" si="59"/>
        <v>0</v>
      </c>
      <c r="I253" s="305">
        <f>IFERROR(SUMIF(簡易陰圧装置!$C$30:$C$74,B253,簡易陰圧装置!$K$30:$K$74)*((簡易陰圧装置!$H$3-簡易陰圧装置!$I$3)/簡易陰圧装置!$H$3),0)</f>
        <v>0</v>
      </c>
      <c r="J253" s="306">
        <f t="shared" si="60"/>
        <v>0</v>
      </c>
      <c r="K253" s="305">
        <f>IFERROR(SUMIF(簡易ベッド!$C$30:$C$74,B253,簡易ベッド!$K$30:$K$74)*((簡易ベッド!$H$3-簡易ベッド!$I$3)/簡易ベッド!$H$3),0)</f>
        <v>0</v>
      </c>
      <c r="L253" s="306">
        <f t="shared" si="61"/>
        <v>0</v>
      </c>
      <c r="M253" s="305">
        <f>IFERROR(SUMIF(体外式膜型人工肺!$C$30:$C$74,B253,体外式膜型人工肺!$K$30:$K$74)*((体外式膜型人工肺!$H$3-体外式膜型人工肺!$I$3)/体外式膜型人工肺!$H$3),0)</f>
        <v>0</v>
      </c>
      <c r="N253" s="306">
        <f t="shared" si="62"/>
        <v>0</v>
      </c>
      <c r="O253" s="306">
        <f t="shared" si="63"/>
        <v>0</v>
      </c>
      <c r="P253" s="306">
        <f t="shared" si="64"/>
        <v>0</v>
      </c>
      <c r="Q253" s="305">
        <f>IFERROR(SUMIF(紫外線照射装置!$C$30:$C$74,B253,紫外線照射装置!$K$30:$K$74)*((紫外線照射装置!$H$3-紫外線照射装置!$I$3)/紫外線照射装置!$H$3),0)</f>
        <v>0</v>
      </c>
      <c r="R253" s="306">
        <f t="shared" si="65"/>
        <v>0</v>
      </c>
      <c r="S253" s="419">
        <f t="shared" si="66"/>
        <v>0</v>
      </c>
      <c r="T253" s="305">
        <f>IFERROR(SUMIF(超音波画像診断装置!$C$30:$C$74,B253,超音波画像診断装置!$K$30:$K$74)*((超音波画像診断装置!$H$3-超音波画像診断装置!$I$3)/超音波画像診断装置!$H$3),0)</f>
        <v>0</v>
      </c>
      <c r="U253" s="306">
        <f t="shared" si="67"/>
        <v>0</v>
      </c>
      <c r="V253" s="305">
        <f>IFERROR(SUMIF(血液浄化装置!$C$30:$C$74,B253,血液浄化装置!$K$30:$K$74)*((血液浄化装置!$H$3-血液浄化装置!$I$3)/血液浄化装置!$H$3),0)</f>
        <v>0</v>
      </c>
      <c r="W253" s="306">
        <f t="shared" si="68"/>
        <v>0</v>
      </c>
      <c r="X253" s="305">
        <f>IFERROR(SUMIF(気管支鏡!$C$30:$C$74,B253,気管支鏡!$K$30:$K$74)*((気管支鏡!$H$3-気管支鏡!$I$3)/気管支鏡!$H$3),0)</f>
        <v>0</v>
      </c>
      <c r="Y253" s="306">
        <f t="shared" si="54"/>
        <v>0</v>
      </c>
      <c r="Z253" s="305">
        <f>IFERROR(SUMIF(CT撮影装置!$C$30:$C$74,B253,CT撮影装置!$K$30:$K$74)*((CT撮影装置!$H$3-CT撮影装置!$I$3)/CT撮影装置!$H$3),0)</f>
        <v>0</v>
      </c>
      <c r="AA253" s="306">
        <f t="shared" si="69"/>
        <v>0</v>
      </c>
      <c r="AB253" s="305">
        <f>IFERROR(SUMIF(生体情報モニタ!$C$30:$C$74,B253,生体情報モニタ!$K$30:$K$74)*((生体情報モニタ!$H$3-生体情報モニタ!$I$3)/生体情報モニタ!$H$3),0)</f>
        <v>0</v>
      </c>
      <c r="AC253" s="306">
        <f t="shared" si="55"/>
        <v>0</v>
      </c>
      <c r="AD253" s="305">
        <f>IFERROR(SUMIF(分娩監視装置!$C$30:$C$74,B253,分娩監視装置!$K$30:$K$74)*((分娩監視装置!$H$3-分娩監視装置!$I$3)/分娩監視装置!$H$3),0)</f>
        <v>0</v>
      </c>
      <c r="AE253" s="306">
        <f t="shared" si="70"/>
        <v>0</v>
      </c>
      <c r="AF253" s="305">
        <f>IFERROR(SUMIF(新生児モニタ!$C$30:$C$74,B253,新生児モニタ!$K$30:$K$74)*((新生児モニタ!$H$3-新生児モニタ!$I$3)/新生児モニタ!$H$3),0)</f>
        <v>0</v>
      </c>
      <c r="AG253" s="306">
        <f t="shared" si="71"/>
        <v>0</v>
      </c>
    </row>
    <row r="254" spans="2:33">
      <c r="B254" s="283" t="s">
        <v>1067</v>
      </c>
      <c r="C254" s="305">
        <f>IFERROR(SUMIF(初度設備!$C$30:$C$74,B254,初度設備!$K$30:$K$74)*((初度設備!$H$3-初度設備!$I$3)/初度設備!$H$3),0)</f>
        <v>0</v>
      </c>
      <c r="D254" s="306">
        <f t="shared" si="56"/>
        <v>0</v>
      </c>
      <c r="E254" s="305">
        <f>IFERROR(SUMIF(人工呼吸器!$C$30:$C$74,B254,人工呼吸器!$K$30:$K$74)*((人工呼吸器!$H$3-人工呼吸器!$I$3)/人工呼吸器!$H$3),0)</f>
        <v>0</v>
      </c>
      <c r="F254" s="306">
        <f t="shared" si="57"/>
        <v>0</v>
      </c>
      <c r="G254" s="306">
        <f t="shared" si="58"/>
        <v>0</v>
      </c>
      <c r="H254" s="306">
        <f t="shared" si="59"/>
        <v>0</v>
      </c>
      <c r="I254" s="305">
        <f>IFERROR(SUMIF(簡易陰圧装置!$C$30:$C$74,B254,簡易陰圧装置!$K$30:$K$74)*((簡易陰圧装置!$H$3-簡易陰圧装置!$I$3)/簡易陰圧装置!$H$3),0)</f>
        <v>0</v>
      </c>
      <c r="J254" s="306">
        <f t="shared" si="60"/>
        <v>0</v>
      </c>
      <c r="K254" s="305">
        <f>IFERROR(SUMIF(簡易ベッド!$C$30:$C$74,B254,簡易ベッド!$K$30:$K$74)*((簡易ベッド!$H$3-簡易ベッド!$I$3)/簡易ベッド!$H$3),0)</f>
        <v>0</v>
      </c>
      <c r="L254" s="306">
        <f t="shared" si="61"/>
        <v>0</v>
      </c>
      <c r="M254" s="305">
        <f>IFERROR(SUMIF(体外式膜型人工肺!$C$30:$C$74,B254,体外式膜型人工肺!$K$30:$K$74)*((体外式膜型人工肺!$H$3-体外式膜型人工肺!$I$3)/体外式膜型人工肺!$H$3),0)</f>
        <v>0</v>
      </c>
      <c r="N254" s="306">
        <f t="shared" si="62"/>
        <v>0</v>
      </c>
      <c r="O254" s="306">
        <f t="shared" si="63"/>
        <v>0</v>
      </c>
      <c r="P254" s="306">
        <f t="shared" si="64"/>
        <v>0</v>
      </c>
      <c r="Q254" s="305">
        <f>IFERROR(SUMIF(紫外線照射装置!$C$30:$C$74,B254,紫外線照射装置!$K$30:$K$74)*((紫外線照射装置!$H$3-紫外線照射装置!$I$3)/紫外線照射装置!$H$3),0)</f>
        <v>0</v>
      </c>
      <c r="R254" s="306">
        <f t="shared" si="65"/>
        <v>0</v>
      </c>
      <c r="S254" s="419">
        <f t="shared" si="66"/>
        <v>0</v>
      </c>
      <c r="T254" s="305">
        <f>IFERROR(SUMIF(超音波画像診断装置!$C$30:$C$74,B254,超音波画像診断装置!$K$30:$K$74)*((超音波画像診断装置!$H$3-超音波画像診断装置!$I$3)/超音波画像診断装置!$H$3),0)</f>
        <v>0</v>
      </c>
      <c r="U254" s="306">
        <f t="shared" si="67"/>
        <v>0</v>
      </c>
      <c r="V254" s="305">
        <f>IFERROR(SUMIF(血液浄化装置!$C$30:$C$74,B254,血液浄化装置!$K$30:$K$74)*((血液浄化装置!$H$3-血液浄化装置!$I$3)/血液浄化装置!$H$3),0)</f>
        <v>0</v>
      </c>
      <c r="W254" s="306">
        <f t="shared" si="68"/>
        <v>0</v>
      </c>
      <c r="X254" s="305">
        <f>IFERROR(SUMIF(気管支鏡!$C$30:$C$74,B254,気管支鏡!$K$30:$K$74)*((気管支鏡!$H$3-気管支鏡!$I$3)/気管支鏡!$H$3),0)</f>
        <v>0</v>
      </c>
      <c r="Y254" s="306">
        <f t="shared" si="54"/>
        <v>0</v>
      </c>
      <c r="Z254" s="305">
        <f>IFERROR(SUMIF(CT撮影装置!$C$30:$C$74,B254,CT撮影装置!$K$30:$K$74)*((CT撮影装置!$H$3-CT撮影装置!$I$3)/CT撮影装置!$H$3),0)</f>
        <v>0</v>
      </c>
      <c r="AA254" s="306">
        <f t="shared" si="69"/>
        <v>0</v>
      </c>
      <c r="AB254" s="305">
        <f>IFERROR(SUMIF(生体情報モニタ!$C$30:$C$74,B254,生体情報モニタ!$K$30:$K$74)*((生体情報モニタ!$H$3-生体情報モニタ!$I$3)/生体情報モニタ!$H$3),0)</f>
        <v>0</v>
      </c>
      <c r="AC254" s="306">
        <f t="shared" si="55"/>
        <v>0</v>
      </c>
      <c r="AD254" s="305">
        <f>IFERROR(SUMIF(分娩監視装置!$C$30:$C$74,B254,分娩監視装置!$K$30:$K$74)*((分娩監視装置!$H$3-分娩監視装置!$I$3)/分娩監視装置!$H$3),0)</f>
        <v>0</v>
      </c>
      <c r="AE254" s="306">
        <f t="shared" si="70"/>
        <v>0</v>
      </c>
      <c r="AF254" s="305">
        <f>IFERROR(SUMIF(新生児モニタ!$C$30:$C$74,B254,新生児モニタ!$K$30:$K$74)*((新生児モニタ!$H$3-新生児モニタ!$I$3)/新生児モニタ!$H$3),0)</f>
        <v>0</v>
      </c>
      <c r="AG254" s="306">
        <f t="shared" si="71"/>
        <v>0</v>
      </c>
    </row>
    <row r="255" spans="2:33">
      <c r="B255" s="283" t="s">
        <v>1068</v>
      </c>
      <c r="C255" s="305">
        <f>IFERROR(SUMIF(初度設備!$C$30:$C$74,B255,初度設備!$K$30:$K$74)*((初度設備!$H$3-初度設備!$I$3)/初度設備!$H$3),0)</f>
        <v>0</v>
      </c>
      <c r="D255" s="306">
        <f t="shared" si="56"/>
        <v>0</v>
      </c>
      <c r="E255" s="305">
        <f>IFERROR(SUMIF(人工呼吸器!$C$30:$C$74,B255,人工呼吸器!$K$30:$K$74)*((人工呼吸器!$H$3-人工呼吸器!$I$3)/人工呼吸器!$H$3),0)</f>
        <v>0</v>
      </c>
      <c r="F255" s="306">
        <f t="shared" si="57"/>
        <v>0</v>
      </c>
      <c r="G255" s="306">
        <f t="shared" si="58"/>
        <v>0</v>
      </c>
      <c r="H255" s="306">
        <f t="shared" si="59"/>
        <v>0</v>
      </c>
      <c r="I255" s="305">
        <f>IFERROR(SUMIF(簡易陰圧装置!$C$30:$C$74,B255,簡易陰圧装置!$K$30:$K$74)*((簡易陰圧装置!$H$3-簡易陰圧装置!$I$3)/簡易陰圧装置!$H$3),0)</f>
        <v>0</v>
      </c>
      <c r="J255" s="306">
        <f t="shared" si="60"/>
        <v>0</v>
      </c>
      <c r="K255" s="305">
        <f>IFERROR(SUMIF(簡易ベッド!$C$30:$C$74,B255,簡易ベッド!$K$30:$K$74)*((簡易ベッド!$H$3-簡易ベッド!$I$3)/簡易ベッド!$H$3),0)</f>
        <v>0</v>
      </c>
      <c r="L255" s="306">
        <f t="shared" si="61"/>
        <v>0</v>
      </c>
      <c r="M255" s="305">
        <f>IFERROR(SUMIF(体外式膜型人工肺!$C$30:$C$74,B255,体外式膜型人工肺!$K$30:$K$74)*((体外式膜型人工肺!$H$3-体外式膜型人工肺!$I$3)/体外式膜型人工肺!$H$3),0)</f>
        <v>0</v>
      </c>
      <c r="N255" s="306">
        <f t="shared" si="62"/>
        <v>0</v>
      </c>
      <c r="O255" s="306">
        <f t="shared" si="63"/>
        <v>0</v>
      </c>
      <c r="P255" s="306">
        <f t="shared" si="64"/>
        <v>0</v>
      </c>
      <c r="Q255" s="305">
        <f>IFERROR(SUMIF(紫外線照射装置!$C$30:$C$74,B255,紫外線照射装置!$K$30:$K$74)*((紫外線照射装置!$H$3-紫外線照射装置!$I$3)/紫外線照射装置!$H$3),0)</f>
        <v>0</v>
      </c>
      <c r="R255" s="306">
        <f t="shared" si="65"/>
        <v>0</v>
      </c>
      <c r="S255" s="419">
        <f t="shared" si="66"/>
        <v>0</v>
      </c>
      <c r="T255" s="305">
        <f>IFERROR(SUMIF(超音波画像診断装置!$C$30:$C$74,B255,超音波画像診断装置!$K$30:$K$74)*((超音波画像診断装置!$H$3-超音波画像診断装置!$I$3)/超音波画像診断装置!$H$3),0)</f>
        <v>0</v>
      </c>
      <c r="U255" s="306">
        <f t="shared" si="67"/>
        <v>0</v>
      </c>
      <c r="V255" s="305">
        <f>IFERROR(SUMIF(血液浄化装置!$C$30:$C$74,B255,血液浄化装置!$K$30:$K$74)*((血液浄化装置!$H$3-血液浄化装置!$I$3)/血液浄化装置!$H$3),0)</f>
        <v>0</v>
      </c>
      <c r="W255" s="306">
        <f t="shared" si="68"/>
        <v>0</v>
      </c>
      <c r="X255" s="305">
        <f>IFERROR(SUMIF(気管支鏡!$C$30:$C$74,B255,気管支鏡!$K$30:$K$74)*((気管支鏡!$H$3-気管支鏡!$I$3)/気管支鏡!$H$3),0)</f>
        <v>0</v>
      </c>
      <c r="Y255" s="306">
        <f t="shared" si="54"/>
        <v>0</v>
      </c>
      <c r="Z255" s="305">
        <f>IFERROR(SUMIF(CT撮影装置!$C$30:$C$74,B255,CT撮影装置!$K$30:$K$74)*((CT撮影装置!$H$3-CT撮影装置!$I$3)/CT撮影装置!$H$3),0)</f>
        <v>0</v>
      </c>
      <c r="AA255" s="306">
        <f t="shared" si="69"/>
        <v>0</v>
      </c>
      <c r="AB255" s="305">
        <f>IFERROR(SUMIF(生体情報モニタ!$C$30:$C$74,B255,生体情報モニタ!$K$30:$K$74)*((生体情報モニタ!$H$3-生体情報モニタ!$I$3)/生体情報モニタ!$H$3),0)</f>
        <v>0</v>
      </c>
      <c r="AC255" s="306">
        <f t="shared" si="55"/>
        <v>0</v>
      </c>
      <c r="AD255" s="305">
        <f>IFERROR(SUMIF(分娩監視装置!$C$30:$C$74,B255,分娩監視装置!$K$30:$K$74)*((分娩監視装置!$H$3-分娩監視装置!$I$3)/分娩監視装置!$H$3),0)</f>
        <v>0</v>
      </c>
      <c r="AE255" s="306">
        <f t="shared" si="70"/>
        <v>0</v>
      </c>
      <c r="AF255" s="305">
        <f>IFERROR(SUMIF(新生児モニタ!$C$30:$C$74,B255,新生児モニタ!$K$30:$K$74)*((新生児モニタ!$H$3-新生児モニタ!$I$3)/新生児モニタ!$H$3),0)</f>
        <v>0</v>
      </c>
      <c r="AG255" s="306">
        <f t="shared" si="71"/>
        <v>0</v>
      </c>
    </row>
    <row r="256" spans="2:33">
      <c r="B256" s="283" t="s">
        <v>1069</v>
      </c>
      <c r="C256" s="305">
        <f>IFERROR(SUMIF(初度設備!$C$30:$C$74,B256,初度設備!$K$30:$K$74)*((初度設備!$H$3-初度設備!$I$3)/初度設備!$H$3),0)</f>
        <v>0</v>
      </c>
      <c r="D256" s="306">
        <f t="shared" si="56"/>
        <v>0</v>
      </c>
      <c r="E256" s="305">
        <f>IFERROR(SUMIF(人工呼吸器!$C$30:$C$74,B256,人工呼吸器!$K$30:$K$74)*((人工呼吸器!$H$3-人工呼吸器!$I$3)/人工呼吸器!$H$3),0)</f>
        <v>0</v>
      </c>
      <c r="F256" s="306">
        <f t="shared" si="57"/>
        <v>0</v>
      </c>
      <c r="G256" s="306">
        <f t="shared" si="58"/>
        <v>0</v>
      </c>
      <c r="H256" s="306">
        <f t="shared" si="59"/>
        <v>0</v>
      </c>
      <c r="I256" s="305">
        <f>IFERROR(SUMIF(簡易陰圧装置!$C$30:$C$74,B256,簡易陰圧装置!$K$30:$K$74)*((簡易陰圧装置!$H$3-簡易陰圧装置!$I$3)/簡易陰圧装置!$H$3),0)</f>
        <v>0</v>
      </c>
      <c r="J256" s="306">
        <f t="shared" si="60"/>
        <v>0</v>
      </c>
      <c r="K256" s="305">
        <f>IFERROR(SUMIF(簡易ベッド!$C$30:$C$74,B256,簡易ベッド!$K$30:$K$74)*((簡易ベッド!$H$3-簡易ベッド!$I$3)/簡易ベッド!$H$3),0)</f>
        <v>0</v>
      </c>
      <c r="L256" s="306">
        <f t="shared" si="61"/>
        <v>0</v>
      </c>
      <c r="M256" s="305">
        <f>IFERROR(SUMIF(体外式膜型人工肺!$C$30:$C$74,B256,体外式膜型人工肺!$K$30:$K$74)*((体外式膜型人工肺!$H$3-体外式膜型人工肺!$I$3)/体外式膜型人工肺!$H$3),0)</f>
        <v>0</v>
      </c>
      <c r="N256" s="306">
        <f t="shared" si="62"/>
        <v>0</v>
      </c>
      <c r="O256" s="306">
        <f t="shared" si="63"/>
        <v>0</v>
      </c>
      <c r="P256" s="306">
        <f t="shared" si="64"/>
        <v>0</v>
      </c>
      <c r="Q256" s="305">
        <f>IFERROR(SUMIF(紫外線照射装置!$C$30:$C$74,B256,紫外線照射装置!$K$30:$K$74)*((紫外線照射装置!$H$3-紫外線照射装置!$I$3)/紫外線照射装置!$H$3),0)</f>
        <v>0</v>
      </c>
      <c r="R256" s="306">
        <f t="shared" si="65"/>
        <v>0</v>
      </c>
      <c r="S256" s="419">
        <f t="shared" si="66"/>
        <v>0</v>
      </c>
      <c r="T256" s="305">
        <f>IFERROR(SUMIF(超音波画像診断装置!$C$30:$C$74,B256,超音波画像診断装置!$K$30:$K$74)*((超音波画像診断装置!$H$3-超音波画像診断装置!$I$3)/超音波画像診断装置!$H$3),0)</f>
        <v>0</v>
      </c>
      <c r="U256" s="306">
        <f t="shared" si="67"/>
        <v>0</v>
      </c>
      <c r="V256" s="305">
        <f>IFERROR(SUMIF(血液浄化装置!$C$30:$C$74,B256,血液浄化装置!$K$30:$K$74)*((血液浄化装置!$H$3-血液浄化装置!$I$3)/血液浄化装置!$H$3),0)</f>
        <v>0</v>
      </c>
      <c r="W256" s="306">
        <f t="shared" si="68"/>
        <v>0</v>
      </c>
      <c r="X256" s="305">
        <f>IFERROR(SUMIF(気管支鏡!$C$30:$C$74,B256,気管支鏡!$K$30:$K$74)*((気管支鏡!$H$3-気管支鏡!$I$3)/気管支鏡!$H$3),0)</f>
        <v>0</v>
      </c>
      <c r="Y256" s="306">
        <f t="shared" si="54"/>
        <v>0</v>
      </c>
      <c r="Z256" s="305">
        <f>IFERROR(SUMIF(CT撮影装置!$C$30:$C$74,B256,CT撮影装置!$K$30:$K$74)*((CT撮影装置!$H$3-CT撮影装置!$I$3)/CT撮影装置!$H$3),0)</f>
        <v>0</v>
      </c>
      <c r="AA256" s="306">
        <f t="shared" si="69"/>
        <v>0</v>
      </c>
      <c r="AB256" s="305">
        <f>IFERROR(SUMIF(生体情報モニタ!$C$30:$C$74,B256,生体情報モニタ!$K$30:$K$74)*((生体情報モニタ!$H$3-生体情報モニタ!$I$3)/生体情報モニタ!$H$3),0)</f>
        <v>0</v>
      </c>
      <c r="AC256" s="306">
        <f t="shared" si="55"/>
        <v>0</v>
      </c>
      <c r="AD256" s="305">
        <f>IFERROR(SUMIF(分娩監視装置!$C$30:$C$74,B256,分娩監視装置!$K$30:$K$74)*((分娩監視装置!$H$3-分娩監視装置!$I$3)/分娩監視装置!$H$3),0)</f>
        <v>0</v>
      </c>
      <c r="AE256" s="306">
        <f t="shared" si="70"/>
        <v>0</v>
      </c>
      <c r="AF256" s="305">
        <f>IFERROR(SUMIF(新生児モニタ!$C$30:$C$74,B256,新生児モニタ!$K$30:$K$74)*((新生児モニタ!$H$3-新生児モニタ!$I$3)/新生児モニタ!$H$3),0)</f>
        <v>0</v>
      </c>
      <c r="AG256" s="306">
        <f t="shared" si="71"/>
        <v>0</v>
      </c>
    </row>
    <row r="257" spans="2:33">
      <c r="B257" s="283" t="s">
        <v>1070</v>
      </c>
      <c r="C257" s="305">
        <f>IFERROR(SUMIF(初度設備!$C$30:$C$74,B257,初度設備!$K$30:$K$74)*((初度設備!$H$3-初度設備!$I$3)/初度設備!$H$3),0)</f>
        <v>0</v>
      </c>
      <c r="D257" s="306">
        <f t="shared" si="56"/>
        <v>0</v>
      </c>
      <c r="E257" s="305">
        <f>IFERROR(SUMIF(人工呼吸器!$C$30:$C$74,B257,人工呼吸器!$K$30:$K$74)*((人工呼吸器!$H$3-人工呼吸器!$I$3)/人工呼吸器!$H$3),0)</f>
        <v>0</v>
      </c>
      <c r="F257" s="306">
        <f t="shared" si="57"/>
        <v>0</v>
      </c>
      <c r="G257" s="306">
        <f t="shared" si="58"/>
        <v>0</v>
      </c>
      <c r="H257" s="306">
        <f t="shared" si="59"/>
        <v>0</v>
      </c>
      <c r="I257" s="305">
        <f>IFERROR(SUMIF(簡易陰圧装置!$C$30:$C$74,B257,簡易陰圧装置!$K$30:$K$74)*((簡易陰圧装置!$H$3-簡易陰圧装置!$I$3)/簡易陰圧装置!$H$3),0)</f>
        <v>0</v>
      </c>
      <c r="J257" s="306">
        <f t="shared" si="60"/>
        <v>0</v>
      </c>
      <c r="K257" s="305">
        <f>IFERROR(SUMIF(簡易ベッド!$C$30:$C$74,B257,簡易ベッド!$K$30:$K$74)*((簡易ベッド!$H$3-簡易ベッド!$I$3)/簡易ベッド!$H$3),0)</f>
        <v>0</v>
      </c>
      <c r="L257" s="306">
        <f t="shared" si="61"/>
        <v>0</v>
      </c>
      <c r="M257" s="305">
        <f>IFERROR(SUMIF(体外式膜型人工肺!$C$30:$C$74,B257,体外式膜型人工肺!$K$30:$K$74)*((体外式膜型人工肺!$H$3-体外式膜型人工肺!$I$3)/体外式膜型人工肺!$H$3),0)</f>
        <v>0</v>
      </c>
      <c r="N257" s="306">
        <f t="shared" si="62"/>
        <v>0</v>
      </c>
      <c r="O257" s="306">
        <f t="shared" si="63"/>
        <v>0</v>
      </c>
      <c r="P257" s="306">
        <f t="shared" si="64"/>
        <v>0</v>
      </c>
      <c r="Q257" s="305">
        <f>IFERROR(SUMIF(紫外線照射装置!$C$30:$C$74,B257,紫外線照射装置!$K$30:$K$74)*((紫外線照射装置!$H$3-紫外線照射装置!$I$3)/紫外線照射装置!$H$3),0)</f>
        <v>0</v>
      </c>
      <c r="R257" s="306">
        <f t="shared" si="65"/>
        <v>0</v>
      </c>
      <c r="S257" s="419">
        <f t="shared" si="66"/>
        <v>0</v>
      </c>
      <c r="T257" s="305">
        <f>IFERROR(SUMIF(超音波画像診断装置!$C$30:$C$74,B257,超音波画像診断装置!$K$30:$K$74)*((超音波画像診断装置!$H$3-超音波画像診断装置!$I$3)/超音波画像診断装置!$H$3),0)</f>
        <v>0</v>
      </c>
      <c r="U257" s="306">
        <f t="shared" si="67"/>
        <v>0</v>
      </c>
      <c r="V257" s="305">
        <f>IFERROR(SUMIF(血液浄化装置!$C$30:$C$74,B257,血液浄化装置!$K$30:$K$74)*((血液浄化装置!$H$3-血液浄化装置!$I$3)/血液浄化装置!$H$3),0)</f>
        <v>0</v>
      </c>
      <c r="W257" s="306">
        <f t="shared" si="68"/>
        <v>0</v>
      </c>
      <c r="X257" s="305">
        <f>IFERROR(SUMIF(気管支鏡!$C$30:$C$74,B257,気管支鏡!$K$30:$K$74)*((気管支鏡!$H$3-気管支鏡!$I$3)/気管支鏡!$H$3),0)</f>
        <v>0</v>
      </c>
      <c r="Y257" s="306">
        <f t="shared" si="54"/>
        <v>0</v>
      </c>
      <c r="Z257" s="305">
        <f>IFERROR(SUMIF(CT撮影装置!$C$30:$C$74,B257,CT撮影装置!$K$30:$K$74)*((CT撮影装置!$H$3-CT撮影装置!$I$3)/CT撮影装置!$H$3),0)</f>
        <v>0</v>
      </c>
      <c r="AA257" s="306">
        <f t="shared" si="69"/>
        <v>0</v>
      </c>
      <c r="AB257" s="305">
        <f>IFERROR(SUMIF(生体情報モニタ!$C$30:$C$74,B257,生体情報モニタ!$K$30:$K$74)*((生体情報モニタ!$H$3-生体情報モニタ!$I$3)/生体情報モニタ!$H$3),0)</f>
        <v>0</v>
      </c>
      <c r="AC257" s="306">
        <f t="shared" si="55"/>
        <v>0</v>
      </c>
      <c r="AD257" s="305">
        <f>IFERROR(SUMIF(分娩監視装置!$C$30:$C$74,B257,分娩監視装置!$K$30:$K$74)*((分娩監視装置!$H$3-分娩監視装置!$I$3)/分娩監視装置!$H$3),0)</f>
        <v>0</v>
      </c>
      <c r="AE257" s="306">
        <f t="shared" si="70"/>
        <v>0</v>
      </c>
      <c r="AF257" s="305">
        <f>IFERROR(SUMIF(新生児モニタ!$C$30:$C$74,B257,新生児モニタ!$K$30:$K$74)*((新生児モニタ!$H$3-新生児モニタ!$I$3)/新生児モニタ!$H$3),0)</f>
        <v>0</v>
      </c>
      <c r="AG257" s="306">
        <f t="shared" si="71"/>
        <v>0</v>
      </c>
    </row>
    <row r="258" spans="2:33">
      <c r="B258" s="283" t="s">
        <v>1071</v>
      </c>
      <c r="C258" s="305">
        <f>IFERROR(SUMIF(初度設備!$C$30:$C$74,B258,初度設備!$K$30:$K$74)*((初度設備!$H$3-初度設備!$I$3)/初度設備!$H$3),0)</f>
        <v>0</v>
      </c>
      <c r="D258" s="306">
        <f t="shared" si="56"/>
        <v>0</v>
      </c>
      <c r="E258" s="305">
        <f>IFERROR(SUMIF(人工呼吸器!$C$30:$C$74,B258,人工呼吸器!$K$30:$K$74)*((人工呼吸器!$H$3-人工呼吸器!$I$3)/人工呼吸器!$H$3),0)</f>
        <v>0</v>
      </c>
      <c r="F258" s="306">
        <f t="shared" si="57"/>
        <v>0</v>
      </c>
      <c r="G258" s="306">
        <f t="shared" si="58"/>
        <v>0</v>
      </c>
      <c r="H258" s="306">
        <f t="shared" si="59"/>
        <v>0</v>
      </c>
      <c r="I258" s="305">
        <f>IFERROR(SUMIF(簡易陰圧装置!$C$30:$C$74,B258,簡易陰圧装置!$K$30:$K$74)*((簡易陰圧装置!$H$3-簡易陰圧装置!$I$3)/簡易陰圧装置!$H$3),0)</f>
        <v>0</v>
      </c>
      <c r="J258" s="306">
        <f t="shared" si="60"/>
        <v>0</v>
      </c>
      <c r="K258" s="305">
        <f>IFERROR(SUMIF(簡易ベッド!$C$30:$C$74,B258,簡易ベッド!$K$30:$K$74)*((簡易ベッド!$H$3-簡易ベッド!$I$3)/簡易ベッド!$H$3),0)</f>
        <v>0</v>
      </c>
      <c r="L258" s="306">
        <f t="shared" si="61"/>
        <v>0</v>
      </c>
      <c r="M258" s="305">
        <f>IFERROR(SUMIF(体外式膜型人工肺!$C$30:$C$74,B258,体外式膜型人工肺!$K$30:$K$74)*((体外式膜型人工肺!$H$3-体外式膜型人工肺!$I$3)/体外式膜型人工肺!$H$3),0)</f>
        <v>0</v>
      </c>
      <c r="N258" s="306">
        <f t="shared" si="62"/>
        <v>0</v>
      </c>
      <c r="O258" s="306">
        <f t="shared" si="63"/>
        <v>0</v>
      </c>
      <c r="P258" s="306">
        <f t="shared" si="64"/>
        <v>0</v>
      </c>
      <c r="Q258" s="305">
        <f>IFERROR(SUMIF(紫外線照射装置!$C$30:$C$74,B258,紫外線照射装置!$K$30:$K$74)*((紫外線照射装置!$H$3-紫外線照射装置!$I$3)/紫外線照射装置!$H$3),0)</f>
        <v>0</v>
      </c>
      <c r="R258" s="306">
        <f t="shared" si="65"/>
        <v>0</v>
      </c>
      <c r="S258" s="419">
        <f t="shared" si="66"/>
        <v>0</v>
      </c>
      <c r="T258" s="305">
        <f>IFERROR(SUMIF(超音波画像診断装置!$C$30:$C$74,B258,超音波画像診断装置!$K$30:$K$74)*((超音波画像診断装置!$H$3-超音波画像診断装置!$I$3)/超音波画像診断装置!$H$3),0)</f>
        <v>0</v>
      </c>
      <c r="U258" s="306">
        <f t="shared" si="67"/>
        <v>0</v>
      </c>
      <c r="V258" s="305">
        <f>IFERROR(SUMIF(血液浄化装置!$C$30:$C$74,B258,血液浄化装置!$K$30:$K$74)*((血液浄化装置!$H$3-血液浄化装置!$I$3)/血液浄化装置!$H$3),0)</f>
        <v>0</v>
      </c>
      <c r="W258" s="306">
        <f t="shared" si="68"/>
        <v>0</v>
      </c>
      <c r="X258" s="305">
        <f>IFERROR(SUMIF(気管支鏡!$C$30:$C$74,B258,気管支鏡!$K$30:$K$74)*((気管支鏡!$H$3-気管支鏡!$I$3)/気管支鏡!$H$3),0)</f>
        <v>0</v>
      </c>
      <c r="Y258" s="306">
        <f t="shared" si="54"/>
        <v>0</v>
      </c>
      <c r="Z258" s="305">
        <f>IFERROR(SUMIF(CT撮影装置!$C$30:$C$74,B258,CT撮影装置!$K$30:$K$74)*((CT撮影装置!$H$3-CT撮影装置!$I$3)/CT撮影装置!$H$3),0)</f>
        <v>0</v>
      </c>
      <c r="AA258" s="306">
        <f t="shared" si="69"/>
        <v>0</v>
      </c>
      <c r="AB258" s="305">
        <f>IFERROR(SUMIF(生体情報モニタ!$C$30:$C$74,B258,生体情報モニタ!$K$30:$K$74)*((生体情報モニタ!$H$3-生体情報モニタ!$I$3)/生体情報モニタ!$H$3),0)</f>
        <v>0</v>
      </c>
      <c r="AC258" s="306">
        <f t="shared" si="55"/>
        <v>0</v>
      </c>
      <c r="AD258" s="305">
        <f>IFERROR(SUMIF(分娩監視装置!$C$30:$C$74,B258,分娩監視装置!$K$30:$K$74)*((分娩監視装置!$H$3-分娩監視装置!$I$3)/分娩監視装置!$H$3),0)</f>
        <v>0</v>
      </c>
      <c r="AE258" s="306">
        <f t="shared" si="70"/>
        <v>0</v>
      </c>
      <c r="AF258" s="305">
        <f>IFERROR(SUMIF(新生児モニタ!$C$30:$C$74,B258,新生児モニタ!$K$30:$K$74)*((新生児モニタ!$H$3-新生児モニタ!$I$3)/新生児モニタ!$H$3),0)</f>
        <v>0</v>
      </c>
      <c r="AG258" s="306">
        <f t="shared" si="71"/>
        <v>0</v>
      </c>
    </row>
    <row r="259" spans="2:33">
      <c r="B259" s="283" t="s">
        <v>1072</v>
      </c>
      <c r="C259" s="305">
        <f>IFERROR(SUMIF(初度設備!$C$30:$C$74,B259,初度設備!$K$30:$K$74)*((初度設備!$H$3-初度設備!$I$3)/初度設備!$H$3),0)</f>
        <v>0</v>
      </c>
      <c r="D259" s="306">
        <f t="shared" si="56"/>
        <v>0</v>
      </c>
      <c r="E259" s="305">
        <f>IFERROR(SUMIF(人工呼吸器!$C$30:$C$74,B259,人工呼吸器!$K$30:$K$74)*((人工呼吸器!$H$3-人工呼吸器!$I$3)/人工呼吸器!$H$3),0)</f>
        <v>0</v>
      </c>
      <c r="F259" s="306">
        <f t="shared" si="57"/>
        <v>0</v>
      </c>
      <c r="G259" s="306">
        <f t="shared" si="58"/>
        <v>0</v>
      </c>
      <c r="H259" s="306">
        <f t="shared" si="59"/>
        <v>0</v>
      </c>
      <c r="I259" s="305">
        <f>IFERROR(SUMIF(簡易陰圧装置!$C$30:$C$74,B259,簡易陰圧装置!$K$30:$K$74)*((簡易陰圧装置!$H$3-簡易陰圧装置!$I$3)/簡易陰圧装置!$H$3),0)</f>
        <v>0</v>
      </c>
      <c r="J259" s="306">
        <f t="shared" si="60"/>
        <v>0</v>
      </c>
      <c r="K259" s="305">
        <f>IFERROR(SUMIF(簡易ベッド!$C$30:$C$74,B259,簡易ベッド!$K$30:$K$74)*((簡易ベッド!$H$3-簡易ベッド!$I$3)/簡易ベッド!$H$3),0)</f>
        <v>0</v>
      </c>
      <c r="L259" s="306">
        <f t="shared" si="61"/>
        <v>0</v>
      </c>
      <c r="M259" s="305">
        <f>IFERROR(SUMIF(体外式膜型人工肺!$C$30:$C$74,B259,体外式膜型人工肺!$K$30:$K$74)*((体外式膜型人工肺!$H$3-体外式膜型人工肺!$I$3)/体外式膜型人工肺!$H$3),0)</f>
        <v>0</v>
      </c>
      <c r="N259" s="306">
        <f t="shared" si="62"/>
        <v>0</v>
      </c>
      <c r="O259" s="306">
        <f t="shared" si="63"/>
        <v>0</v>
      </c>
      <c r="P259" s="306">
        <f t="shared" si="64"/>
        <v>0</v>
      </c>
      <c r="Q259" s="305">
        <f>IFERROR(SUMIF(紫外線照射装置!$C$30:$C$74,B259,紫外線照射装置!$K$30:$K$74)*((紫外線照射装置!$H$3-紫外線照射装置!$I$3)/紫外線照射装置!$H$3),0)</f>
        <v>0</v>
      </c>
      <c r="R259" s="306">
        <f t="shared" si="65"/>
        <v>0</v>
      </c>
      <c r="S259" s="419">
        <f t="shared" si="66"/>
        <v>0</v>
      </c>
      <c r="T259" s="305">
        <f>IFERROR(SUMIF(超音波画像診断装置!$C$30:$C$74,B259,超音波画像診断装置!$K$30:$K$74)*((超音波画像診断装置!$H$3-超音波画像診断装置!$I$3)/超音波画像診断装置!$H$3),0)</f>
        <v>0</v>
      </c>
      <c r="U259" s="306">
        <f t="shared" si="67"/>
        <v>0</v>
      </c>
      <c r="V259" s="305">
        <f>IFERROR(SUMIF(血液浄化装置!$C$30:$C$74,B259,血液浄化装置!$K$30:$K$74)*((血液浄化装置!$H$3-血液浄化装置!$I$3)/血液浄化装置!$H$3),0)</f>
        <v>0</v>
      </c>
      <c r="W259" s="306">
        <f t="shared" si="68"/>
        <v>0</v>
      </c>
      <c r="X259" s="305">
        <f>IFERROR(SUMIF(気管支鏡!$C$30:$C$74,B259,気管支鏡!$K$30:$K$74)*((気管支鏡!$H$3-気管支鏡!$I$3)/気管支鏡!$H$3),0)</f>
        <v>0</v>
      </c>
      <c r="Y259" s="306">
        <f t="shared" si="54"/>
        <v>0</v>
      </c>
      <c r="Z259" s="305">
        <f>IFERROR(SUMIF(CT撮影装置!$C$30:$C$74,B259,CT撮影装置!$K$30:$K$74)*((CT撮影装置!$H$3-CT撮影装置!$I$3)/CT撮影装置!$H$3),0)</f>
        <v>0</v>
      </c>
      <c r="AA259" s="306">
        <f t="shared" si="69"/>
        <v>0</v>
      </c>
      <c r="AB259" s="305">
        <f>IFERROR(SUMIF(生体情報モニタ!$C$30:$C$74,B259,生体情報モニタ!$K$30:$K$74)*((生体情報モニタ!$H$3-生体情報モニタ!$I$3)/生体情報モニタ!$H$3),0)</f>
        <v>0</v>
      </c>
      <c r="AC259" s="306">
        <f t="shared" si="55"/>
        <v>0</v>
      </c>
      <c r="AD259" s="305">
        <f>IFERROR(SUMIF(分娩監視装置!$C$30:$C$74,B259,分娩監視装置!$K$30:$K$74)*((分娩監視装置!$H$3-分娩監視装置!$I$3)/分娩監視装置!$H$3),0)</f>
        <v>0</v>
      </c>
      <c r="AE259" s="306">
        <f t="shared" si="70"/>
        <v>0</v>
      </c>
      <c r="AF259" s="305">
        <f>IFERROR(SUMIF(新生児モニタ!$C$30:$C$74,B259,新生児モニタ!$K$30:$K$74)*((新生児モニタ!$H$3-新生児モニタ!$I$3)/新生児モニタ!$H$3),0)</f>
        <v>0</v>
      </c>
      <c r="AG259" s="306">
        <f t="shared" si="71"/>
        <v>0</v>
      </c>
    </row>
    <row r="260" spans="2:33">
      <c r="B260" s="283" t="s">
        <v>1073</v>
      </c>
      <c r="C260" s="305">
        <f>IFERROR(SUMIF(初度設備!$C$30:$C$74,B260,初度設備!$K$30:$K$74)*((初度設備!$H$3-初度設備!$I$3)/初度設備!$H$3),0)</f>
        <v>0</v>
      </c>
      <c r="D260" s="306">
        <f t="shared" si="56"/>
        <v>0</v>
      </c>
      <c r="E260" s="305">
        <f>IFERROR(SUMIF(人工呼吸器!$C$30:$C$74,B260,人工呼吸器!$K$30:$K$74)*((人工呼吸器!$H$3-人工呼吸器!$I$3)/人工呼吸器!$H$3),0)</f>
        <v>0</v>
      </c>
      <c r="F260" s="306">
        <f t="shared" si="57"/>
        <v>0</v>
      </c>
      <c r="G260" s="306">
        <f t="shared" si="58"/>
        <v>0</v>
      </c>
      <c r="H260" s="306">
        <f t="shared" si="59"/>
        <v>0</v>
      </c>
      <c r="I260" s="305">
        <f>IFERROR(SUMIF(簡易陰圧装置!$C$30:$C$74,B260,簡易陰圧装置!$K$30:$K$74)*((簡易陰圧装置!$H$3-簡易陰圧装置!$I$3)/簡易陰圧装置!$H$3),0)</f>
        <v>0</v>
      </c>
      <c r="J260" s="306">
        <f t="shared" si="60"/>
        <v>0</v>
      </c>
      <c r="K260" s="305">
        <f>IFERROR(SUMIF(簡易ベッド!$C$30:$C$74,B260,簡易ベッド!$K$30:$K$74)*((簡易ベッド!$H$3-簡易ベッド!$I$3)/簡易ベッド!$H$3),0)</f>
        <v>0</v>
      </c>
      <c r="L260" s="306">
        <f t="shared" si="61"/>
        <v>0</v>
      </c>
      <c r="M260" s="305">
        <f>IFERROR(SUMIF(体外式膜型人工肺!$C$30:$C$74,B260,体外式膜型人工肺!$K$30:$K$74)*((体外式膜型人工肺!$H$3-体外式膜型人工肺!$I$3)/体外式膜型人工肺!$H$3),0)</f>
        <v>0</v>
      </c>
      <c r="N260" s="306">
        <f t="shared" si="62"/>
        <v>0</v>
      </c>
      <c r="O260" s="306">
        <f t="shared" si="63"/>
        <v>0</v>
      </c>
      <c r="P260" s="306">
        <f t="shared" si="64"/>
        <v>0</v>
      </c>
      <c r="Q260" s="305">
        <f>IFERROR(SUMIF(紫外線照射装置!$C$30:$C$74,B260,紫外線照射装置!$K$30:$K$74)*((紫外線照射装置!$H$3-紫外線照射装置!$I$3)/紫外線照射装置!$H$3),0)</f>
        <v>0</v>
      </c>
      <c r="R260" s="306">
        <f t="shared" si="65"/>
        <v>0</v>
      </c>
      <c r="S260" s="419">
        <f t="shared" si="66"/>
        <v>0</v>
      </c>
      <c r="T260" s="305">
        <f>IFERROR(SUMIF(超音波画像診断装置!$C$30:$C$74,B260,超音波画像診断装置!$K$30:$K$74)*((超音波画像診断装置!$H$3-超音波画像診断装置!$I$3)/超音波画像診断装置!$H$3),0)</f>
        <v>0</v>
      </c>
      <c r="U260" s="306">
        <f t="shared" si="67"/>
        <v>0</v>
      </c>
      <c r="V260" s="305">
        <f>IFERROR(SUMIF(血液浄化装置!$C$30:$C$74,B260,血液浄化装置!$K$30:$K$74)*((血液浄化装置!$H$3-血液浄化装置!$I$3)/血液浄化装置!$H$3),0)</f>
        <v>0</v>
      </c>
      <c r="W260" s="306">
        <f t="shared" si="68"/>
        <v>0</v>
      </c>
      <c r="X260" s="305">
        <f>IFERROR(SUMIF(気管支鏡!$C$30:$C$74,B260,気管支鏡!$K$30:$K$74)*((気管支鏡!$H$3-気管支鏡!$I$3)/気管支鏡!$H$3),0)</f>
        <v>0</v>
      </c>
      <c r="Y260" s="306">
        <f t="shared" si="54"/>
        <v>0</v>
      </c>
      <c r="Z260" s="305">
        <f>IFERROR(SUMIF(CT撮影装置!$C$30:$C$74,B260,CT撮影装置!$K$30:$K$74)*((CT撮影装置!$H$3-CT撮影装置!$I$3)/CT撮影装置!$H$3),0)</f>
        <v>0</v>
      </c>
      <c r="AA260" s="306">
        <f t="shared" si="69"/>
        <v>0</v>
      </c>
      <c r="AB260" s="305">
        <f>IFERROR(SUMIF(生体情報モニタ!$C$30:$C$74,B260,生体情報モニタ!$K$30:$K$74)*((生体情報モニタ!$H$3-生体情報モニタ!$I$3)/生体情報モニタ!$H$3),0)</f>
        <v>0</v>
      </c>
      <c r="AC260" s="306">
        <f t="shared" si="55"/>
        <v>0</v>
      </c>
      <c r="AD260" s="305">
        <f>IFERROR(SUMIF(分娩監視装置!$C$30:$C$74,B260,分娩監視装置!$K$30:$K$74)*((分娩監視装置!$H$3-分娩監視装置!$I$3)/分娩監視装置!$H$3),0)</f>
        <v>0</v>
      </c>
      <c r="AE260" s="306">
        <f t="shared" si="70"/>
        <v>0</v>
      </c>
      <c r="AF260" s="305">
        <f>IFERROR(SUMIF(新生児モニタ!$C$30:$C$74,B260,新生児モニタ!$K$30:$K$74)*((新生児モニタ!$H$3-新生児モニタ!$I$3)/新生児モニタ!$H$3),0)</f>
        <v>0</v>
      </c>
      <c r="AG260" s="306">
        <f t="shared" si="71"/>
        <v>0</v>
      </c>
    </row>
    <row r="261" spans="2:33">
      <c r="B261" s="283" t="s">
        <v>1074</v>
      </c>
      <c r="C261" s="305">
        <f>IFERROR(SUMIF(初度設備!$C$30:$C$74,B261,初度設備!$K$30:$K$74)*((初度設備!$H$3-初度設備!$I$3)/初度設備!$H$3),0)</f>
        <v>0</v>
      </c>
      <c r="D261" s="306">
        <f t="shared" si="56"/>
        <v>0</v>
      </c>
      <c r="E261" s="305">
        <f>IFERROR(SUMIF(人工呼吸器!$C$30:$C$74,B261,人工呼吸器!$K$30:$K$74)*((人工呼吸器!$H$3-人工呼吸器!$I$3)/人工呼吸器!$H$3),0)</f>
        <v>0</v>
      </c>
      <c r="F261" s="306">
        <f t="shared" si="57"/>
        <v>0</v>
      </c>
      <c r="G261" s="306">
        <f t="shared" si="58"/>
        <v>0</v>
      </c>
      <c r="H261" s="306">
        <f t="shared" si="59"/>
        <v>0</v>
      </c>
      <c r="I261" s="305">
        <f>IFERROR(SUMIF(簡易陰圧装置!$C$30:$C$74,B261,簡易陰圧装置!$K$30:$K$74)*((簡易陰圧装置!$H$3-簡易陰圧装置!$I$3)/簡易陰圧装置!$H$3),0)</f>
        <v>0</v>
      </c>
      <c r="J261" s="306">
        <f t="shared" si="60"/>
        <v>0</v>
      </c>
      <c r="K261" s="305">
        <f>IFERROR(SUMIF(簡易ベッド!$C$30:$C$74,B261,簡易ベッド!$K$30:$K$74)*((簡易ベッド!$H$3-簡易ベッド!$I$3)/簡易ベッド!$H$3),0)</f>
        <v>0</v>
      </c>
      <c r="L261" s="306">
        <f t="shared" si="61"/>
        <v>0</v>
      </c>
      <c r="M261" s="305">
        <f>IFERROR(SUMIF(体外式膜型人工肺!$C$30:$C$74,B261,体外式膜型人工肺!$K$30:$K$74)*((体外式膜型人工肺!$H$3-体外式膜型人工肺!$I$3)/体外式膜型人工肺!$H$3),0)</f>
        <v>0</v>
      </c>
      <c r="N261" s="306">
        <f t="shared" si="62"/>
        <v>0</v>
      </c>
      <c r="O261" s="306">
        <f t="shared" si="63"/>
        <v>0</v>
      </c>
      <c r="P261" s="306">
        <f t="shared" si="64"/>
        <v>0</v>
      </c>
      <c r="Q261" s="305">
        <f>IFERROR(SUMIF(紫外線照射装置!$C$30:$C$74,B261,紫外線照射装置!$K$30:$K$74)*((紫外線照射装置!$H$3-紫外線照射装置!$I$3)/紫外線照射装置!$H$3),0)</f>
        <v>0</v>
      </c>
      <c r="R261" s="306">
        <f t="shared" si="65"/>
        <v>0</v>
      </c>
      <c r="S261" s="419">
        <f t="shared" si="66"/>
        <v>0</v>
      </c>
      <c r="T261" s="305">
        <f>IFERROR(SUMIF(超音波画像診断装置!$C$30:$C$74,B261,超音波画像診断装置!$K$30:$K$74)*((超音波画像診断装置!$H$3-超音波画像診断装置!$I$3)/超音波画像診断装置!$H$3),0)</f>
        <v>0</v>
      </c>
      <c r="U261" s="306">
        <f t="shared" si="67"/>
        <v>0</v>
      </c>
      <c r="V261" s="305">
        <f>IFERROR(SUMIF(血液浄化装置!$C$30:$C$74,B261,血液浄化装置!$K$30:$K$74)*((血液浄化装置!$H$3-血液浄化装置!$I$3)/血液浄化装置!$H$3),0)</f>
        <v>0</v>
      </c>
      <c r="W261" s="306">
        <f t="shared" si="68"/>
        <v>0</v>
      </c>
      <c r="X261" s="305">
        <f>IFERROR(SUMIF(気管支鏡!$C$30:$C$74,B261,気管支鏡!$K$30:$K$74)*((気管支鏡!$H$3-気管支鏡!$I$3)/気管支鏡!$H$3),0)</f>
        <v>0</v>
      </c>
      <c r="Y261" s="306">
        <f t="shared" si="54"/>
        <v>0</v>
      </c>
      <c r="Z261" s="305">
        <f>IFERROR(SUMIF(CT撮影装置!$C$30:$C$74,B261,CT撮影装置!$K$30:$K$74)*((CT撮影装置!$H$3-CT撮影装置!$I$3)/CT撮影装置!$H$3),0)</f>
        <v>0</v>
      </c>
      <c r="AA261" s="306">
        <f t="shared" si="69"/>
        <v>0</v>
      </c>
      <c r="AB261" s="305">
        <f>IFERROR(SUMIF(生体情報モニタ!$C$30:$C$74,B261,生体情報モニタ!$K$30:$K$74)*((生体情報モニタ!$H$3-生体情報モニタ!$I$3)/生体情報モニタ!$H$3),0)</f>
        <v>0</v>
      </c>
      <c r="AC261" s="306">
        <f t="shared" si="55"/>
        <v>0</v>
      </c>
      <c r="AD261" s="305">
        <f>IFERROR(SUMIF(分娩監視装置!$C$30:$C$74,B261,分娩監視装置!$K$30:$K$74)*((分娩監視装置!$H$3-分娩監視装置!$I$3)/分娩監視装置!$H$3),0)</f>
        <v>0</v>
      </c>
      <c r="AE261" s="306">
        <f t="shared" si="70"/>
        <v>0</v>
      </c>
      <c r="AF261" s="305">
        <f>IFERROR(SUMIF(新生児モニタ!$C$30:$C$74,B261,新生児モニタ!$K$30:$K$74)*((新生児モニタ!$H$3-新生児モニタ!$I$3)/新生児モニタ!$H$3),0)</f>
        <v>0</v>
      </c>
      <c r="AG261" s="306">
        <f t="shared" si="71"/>
        <v>0</v>
      </c>
    </row>
    <row r="262" spans="2:33">
      <c r="B262" s="283" t="s">
        <v>1075</v>
      </c>
      <c r="C262" s="305">
        <f>IFERROR(SUMIF(初度設備!$C$30:$C$74,B262,初度設備!$K$30:$K$74)*((初度設備!$H$3-初度設備!$I$3)/初度設備!$H$3),0)</f>
        <v>0</v>
      </c>
      <c r="D262" s="306">
        <f t="shared" si="56"/>
        <v>0</v>
      </c>
      <c r="E262" s="305">
        <f>IFERROR(SUMIF(人工呼吸器!$C$30:$C$74,B262,人工呼吸器!$K$30:$K$74)*((人工呼吸器!$H$3-人工呼吸器!$I$3)/人工呼吸器!$H$3),0)</f>
        <v>0</v>
      </c>
      <c r="F262" s="306">
        <f t="shared" si="57"/>
        <v>0</v>
      </c>
      <c r="G262" s="306">
        <f t="shared" si="58"/>
        <v>0</v>
      </c>
      <c r="H262" s="306">
        <f t="shared" si="59"/>
        <v>0</v>
      </c>
      <c r="I262" s="305">
        <f>IFERROR(SUMIF(簡易陰圧装置!$C$30:$C$74,B262,簡易陰圧装置!$K$30:$K$74)*((簡易陰圧装置!$H$3-簡易陰圧装置!$I$3)/簡易陰圧装置!$H$3),0)</f>
        <v>0</v>
      </c>
      <c r="J262" s="306">
        <f t="shared" si="60"/>
        <v>0</v>
      </c>
      <c r="K262" s="305">
        <f>IFERROR(SUMIF(簡易ベッド!$C$30:$C$74,B262,簡易ベッド!$K$30:$K$74)*((簡易ベッド!$H$3-簡易ベッド!$I$3)/簡易ベッド!$H$3),0)</f>
        <v>0</v>
      </c>
      <c r="L262" s="306">
        <f t="shared" si="61"/>
        <v>0</v>
      </c>
      <c r="M262" s="305">
        <f>IFERROR(SUMIF(体外式膜型人工肺!$C$30:$C$74,B262,体外式膜型人工肺!$K$30:$K$74)*((体外式膜型人工肺!$H$3-体外式膜型人工肺!$I$3)/体外式膜型人工肺!$H$3),0)</f>
        <v>0</v>
      </c>
      <c r="N262" s="306">
        <f t="shared" si="62"/>
        <v>0</v>
      </c>
      <c r="O262" s="306">
        <f t="shared" si="63"/>
        <v>0</v>
      </c>
      <c r="P262" s="306">
        <f t="shared" si="64"/>
        <v>0</v>
      </c>
      <c r="Q262" s="305">
        <f>IFERROR(SUMIF(紫外線照射装置!$C$30:$C$74,B262,紫外線照射装置!$K$30:$K$74)*((紫外線照射装置!$H$3-紫外線照射装置!$I$3)/紫外線照射装置!$H$3),0)</f>
        <v>0</v>
      </c>
      <c r="R262" s="306">
        <f t="shared" si="65"/>
        <v>0</v>
      </c>
      <c r="S262" s="419">
        <f t="shared" si="66"/>
        <v>0</v>
      </c>
      <c r="T262" s="305">
        <f>IFERROR(SUMIF(超音波画像診断装置!$C$30:$C$74,B262,超音波画像診断装置!$K$30:$K$74)*((超音波画像診断装置!$H$3-超音波画像診断装置!$I$3)/超音波画像診断装置!$H$3),0)</f>
        <v>0</v>
      </c>
      <c r="U262" s="306">
        <f t="shared" si="67"/>
        <v>0</v>
      </c>
      <c r="V262" s="305">
        <f>IFERROR(SUMIF(血液浄化装置!$C$30:$C$74,B262,血液浄化装置!$K$30:$K$74)*((血液浄化装置!$H$3-血液浄化装置!$I$3)/血液浄化装置!$H$3),0)</f>
        <v>0</v>
      </c>
      <c r="W262" s="306">
        <f t="shared" si="68"/>
        <v>0</v>
      </c>
      <c r="X262" s="305">
        <f>IFERROR(SUMIF(気管支鏡!$C$30:$C$74,B262,気管支鏡!$K$30:$K$74)*((気管支鏡!$H$3-気管支鏡!$I$3)/気管支鏡!$H$3),0)</f>
        <v>0</v>
      </c>
      <c r="Y262" s="306">
        <f t="shared" si="54"/>
        <v>0</v>
      </c>
      <c r="Z262" s="305">
        <f>IFERROR(SUMIF(CT撮影装置!$C$30:$C$74,B262,CT撮影装置!$K$30:$K$74)*((CT撮影装置!$H$3-CT撮影装置!$I$3)/CT撮影装置!$H$3),0)</f>
        <v>0</v>
      </c>
      <c r="AA262" s="306">
        <f t="shared" si="69"/>
        <v>0</v>
      </c>
      <c r="AB262" s="305">
        <f>IFERROR(SUMIF(生体情報モニタ!$C$30:$C$74,B262,生体情報モニタ!$K$30:$K$74)*((生体情報モニタ!$H$3-生体情報モニタ!$I$3)/生体情報モニタ!$H$3),0)</f>
        <v>0</v>
      </c>
      <c r="AC262" s="306">
        <f t="shared" si="55"/>
        <v>0</v>
      </c>
      <c r="AD262" s="305">
        <f>IFERROR(SUMIF(分娩監視装置!$C$30:$C$74,B262,分娩監視装置!$K$30:$K$74)*((分娩監視装置!$H$3-分娩監視装置!$I$3)/分娩監視装置!$H$3),0)</f>
        <v>0</v>
      </c>
      <c r="AE262" s="306">
        <f t="shared" si="70"/>
        <v>0</v>
      </c>
      <c r="AF262" s="305">
        <f>IFERROR(SUMIF(新生児モニタ!$C$30:$C$74,B262,新生児モニタ!$K$30:$K$74)*((新生児モニタ!$H$3-新生児モニタ!$I$3)/新生児モニタ!$H$3),0)</f>
        <v>0</v>
      </c>
      <c r="AG262" s="306">
        <f t="shared" si="71"/>
        <v>0</v>
      </c>
    </row>
    <row r="263" spans="2:33">
      <c r="B263" s="283" t="s">
        <v>1076</v>
      </c>
      <c r="C263" s="305">
        <f>IFERROR(SUMIF(初度設備!$C$30:$C$74,B263,初度設備!$K$30:$K$74)*((初度設備!$H$3-初度設備!$I$3)/初度設備!$H$3),0)</f>
        <v>0</v>
      </c>
      <c r="D263" s="306">
        <f t="shared" si="56"/>
        <v>0</v>
      </c>
      <c r="E263" s="305">
        <f>IFERROR(SUMIF(人工呼吸器!$C$30:$C$74,B263,人工呼吸器!$K$30:$K$74)*((人工呼吸器!$H$3-人工呼吸器!$I$3)/人工呼吸器!$H$3),0)</f>
        <v>0</v>
      </c>
      <c r="F263" s="306">
        <f t="shared" si="57"/>
        <v>0</v>
      </c>
      <c r="G263" s="306">
        <f t="shared" si="58"/>
        <v>0</v>
      </c>
      <c r="H263" s="306">
        <f t="shared" si="59"/>
        <v>0</v>
      </c>
      <c r="I263" s="305">
        <f>IFERROR(SUMIF(簡易陰圧装置!$C$30:$C$74,B263,簡易陰圧装置!$K$30:$K$74)*((簡易陰圧装置!$H$3-簡易陰圧装置!$I$3)/簡易陰圧装置!$H$3),0)</f>
        <v>0</v>
      </c>
      <c r="J263" s="306">
        <f t="shared" si="60"/>
        <v>0</v>
      </c>
      <c r="K263" s="305">
        <f>IFERROR(SUMIF(簡易ベッド!$C$30:$C$74,B263,簡易ベッド!$K$30:$K$74)*((簡易ベッド!$H$3-簡易ベッド!$I$3)/簡易ベッド!$H$3),0)</f>
        <v>0</v>
      </c>
      <c r="L263" s="306">
        <f t="shared" si="61"/>
        <v>0</v>
      </c>
      <c r="M263" s="305">
        <f>IFERROR(SUMIF(体外式膜型人工肺!$C$30:$C$74,B263,体外式膜型人工肺!$K$30:$K$74)*((体外式膜型人工肺!$H$3-体外式膜型人工肺!$I$3)/体外式膜型人工肺!$H$3),0)</f>
        <v>0</v>
      </c>
      <c r="N263" s="306">
        <f t="shared" si="62"/>
        <v>0</v>
      </c>
      <c r="O263" s="306">
        <f t="shared" si="63"/>
        <v>0</v>
      </c>
      <c r="P263" s="306">
        <f t="shared" si="64"/>
        <v>0</v>
      </c>
      <c r="Q263" s="305">
        <f>IFERROR(SUMIF(紫外線照射装置!$C$30:$C$74,B263,紫外線照射装置!$K$30:$K$74)*((紫外線照射装置!$H$3-紫外線照射装置!$I$3)/紫外線照射装置!$H$3),0)</f>
        <v>0</v>
      </c>
      <c r="R263" s="306">
        <f t="shared" si="65"/>
        <v>0</v>
      </c>
      <c r="S263" s="419">
        <f t="shared" si="66"/>
        <v>0</v>
      </c>
      <c r="T263" s="305">
        <f>IFERROR(SUMIF(超音波画像診断装置!$C$30:$C$74,B263,超音波画像診断装置!$K$30:$K$74)*((超音波画像診断装置!$H$3-超音波画像診断装置!$I$3)/超音波画像診断装置!$H$3),0)</f>
        <v>0</v>
      </c>
      <c r="U263" s="306">
        <f t="shared" si="67"/>
        <v>0</v>
      </c>
      <c r="V263" s="305">
        <f>IFERROR(SUMIF(血液浄化装置!$C$30:$C$74,B263,血液浄化装置!$K$30:$K$74)*((血液浄化装置!$H$3-血液浄化装置!$I$3)/血液浄化装置!$H$3),0)</f>
        <v>0</v>
      </c>
      <c r="W263" s="306">
        <f t="shared" si="68"/>
        <v>0</v>
      </c>
      <c r="X263" s="305">
        <f>IFERROR(SUMIF(気管支鏡!$C$30:$C$74,B263,気管支鏡!$K$30:$K$74)*((気管支鏡!$H$3-気管支鏡!$I$3)/気管支鏡!$H$3),0)</f>
        <v>0</v>
      </c>
      <c r="Y263" s="306">
        <f t="shared" si="54"/>
        <v>0</v>
      </c>
      <c r="Z263" s="305">
        <f>IFERROR(SUMIF(CT撮影装置!$C$30:$C$74,B263,CT撮影装置!$K$30:$K$74)*((CT撮影装置!$H$3-CT撮影装置!$I$3)/CT撮影装置!$H$3),0)</f>
        <v>0</v>
      </c>
      <c r="AA263" s="306">
        <f t="shared" si="69"/>
        <v>0</v>
      </c>
      <c r="AB263" s="305">
        <f>IFERROR(SUMIF(生体情報モニタ!$C$30:$C$74,B263,生体情報モニタ!$K$30:$K$74)*((生体情報モニタ!$H$3-生体情報モニタ!$I$3)/生体情報モニタ!$H$3),0)</f>
        <v>0</v>
      </c>
      <c r="AC263" s="306">
        <f t="shared" si="55"/>
        <v>0</v>
      </c>
      <c r="AD263" s="305">
        <f>IFERROR(SUMIF(分娩監視装置!$C$30:$C$74,B263,分娩監視装置!$K$30:$K$74)*((分娩監視装置!$H$3-分娩監視装置!$I$3)/分娩監視装置!$H$3),0)</f>
        <v>0</v>
      </c>
      <c r="AE263" s="306">
        <f t="shared" si="70"/>
        <v>0</v>
      </c>
      <c r="AF263" s="305">
        <f>IFERROR(SUMIF(新生児モニタ!$C$30:$C$74,B263,新生児モニタ!$K$30:$K$74)*((新生児モニタ!$H$3-新生児モニタ!$I$3)/新生児モニタ!$H$3),0)</f>
        <v>0</v>
      </c>
      <c r="AG263" s="306">
        <f t="shared" si="71"/>
        <v>0</v>
      </c>
    </row>
    <row r="264" spans="2:33">
      <c r="B264" s="283" t="s">
        <v>1077</v>
      </c>
      <c r="C264" s="305">
        <f>IFERROR(SUMIF(初度設備!$C$30:$C$74,B264,初度設備!$K$30:$K$74)*((初度設備!$H$3-初度設備!$I$3)/初度設備!$H$3),0)</f>
        <v>0</v>
      </c>
      <c r="D264" s="306">
        <f t="shared" si="56"/>
        <v>0</v>
      </c>
      <c r="E264" s="305">
        <f>IFERROR(SUMIF(人工呼吸器!$C$30:$C$74,B264,人工呼吸器!$K$30:$K$74)*((人工呼吸器!$H$3-人工呼吸器!$I$3)/人工呼吸器!$H$3),0)</f>
        <v>0</v>
      </c>
      <c r="F264" s="306">
        <f t="shared" si="57"/>
        <v>0</v>
      </c>
      <c r="G264" s="306">
        <f t="shared" si="58"/>
        <v>0</v>
      </c>
      <c r="H264" s="306">
        <f t="shared" si="59"/>
        <v>0</v>
      </c>
      <c r="I264" s="305">
        <f>IFERROR(SUMIF(簡易陰圧装置!$C$30:$C$74,B264,簡易陰圧装置!$K$30:$K$74)*((簡易陰圧装置!$H$3-簡易陰圧装置!$I$3)/簡易陰圧装置!$H$3),0)</f>
        <v>0</v>
      </c>
      <c r="J264" s="306">
        <f t="shared" si="60"/>
        <v>0</v>
      </c>
      <c r="K264" s="305">
        <f>IFERROR(SUMIF(簡易ベッド!$C$30:$C$74,B264,簡易ベッド!$K$30:$K$74)*((簡易ベッド!$H$3-簡易ベッド!$I$3)/簡易ベッド!$H$3),0)</f>
        <v>0</v>
      </c>
      <c r="L264" s="306">
        <f t="shared" si="61"/>
        <v>0</v>
      </c>
      <c r="M264" s="305">
        <f>IFERROR(SUMIF(体外式膜型人工肺!$C$30:$C$74,B264,体外式膜型人工肺!$K$30:$K$74)*((体外式膜型人工肺!$H$3-体外式膜型人工肺!$I$3)/体外式膜型人工肺!$H$3),0)</f>
        <v>0</v>
      </c>
      <c r="N264" s="306">
        <f t="shared" si="62"/>
        <v>0</v>
      </c>
      <c r="O264" s="306">
        <f t="shared" si="63"/>
        <v>0</v>
      </c>
      <c r="P264" s="306">
        <f t="shared" si="64"/>
        <v>0</v>
      </c>
      <c r="Q264" s="305">
        <f>IFERROR(SUMIF(紫外線照射装置!$C$30:$C$74,B264,紫外線照射装置!$K$30:$K$74)*((紫外線照射装置!$H$3-紫外線照射装置!$I$3)/紫外線照射装置!$H$3),0)</f>
        <v>0</v>
      </c>
      <c r="R264" s="306">
        <f t="shared" si="65"/>
        <v>0</v>
      </c>
      <c r="S264" s="419">
        <f t="shared" si="66"/>
        <v>0</v>
      </c>
      <c r="T264" s="305">
        <f>IFERROR(SUMIF(超音波画像診断装置!$C$30:$C$74,B264,超音波画像診断装置!$K$30:$K$74)*((超音波画像診断装置!$H$3-超音波画像診断装置!$I$3)/超音波画像診断装置!$H$3),0)</f>
        <v>0</v>
      </c>
      <c r="U264" s="306">
        <f t="shared" si="67"/>
        <v>0</v>
      </c>
      <c r="V264" s="305">
        <f>IFERROR(SUMIF(血液浄化装置!$C$30:$C$74,B264,血液浄化装置!$K$30:$K$74)*((血液浄化装置!$H$3-血液浄化装置!$I$3)/血液浄化装置!$H$3),0)</f>
        <v>0</v>
      </c>
      <c r="W264" s="306">
        <f t="shared" si="68"/>
        <v>0</v>
      </c>
      <c r="X264" s="305">
        <f>IFERROR(SUMIF(気管支鏡!$C$30:$C$74,B264,気管支鏡!$K$30:$K$74)*((気管支鏡!$H$3-気管支鏡!$I$3)/気管支鏡!$H$3),0)</f>
        <v>0</v>
      </c>
      <c r="Y264" s="306">
        <f t="shared" si="54"/>
        <v>0</v>
      </c>
      <c r="Z264" s="305">
        <f>IFERROR(SUMIF(CT撮影装置!$C$30:$C$74,B264,CT撮影装置!$K$30:$K$74)*((CT撮影装置!$H$3-CT撮影装置!$I$3)/CT撮影装置!$H$3),0)</f>
        <v>0</v>
      </c>
      <c r="AA264" s="306">
        <f t="shared" si="69"/>
        <v>0</v>
      </c>
      <c r="AB264" s="305">
        <f>IFERROR(SUMIF(生体情報モニタ!$C$30:$C$74,B264,生体情報モニタ!$K$30:$K$74)*((生体情報モニタ!$H$3-生体情報モニタ!$I$3)/生体情報モニタ!$H$3),0)</f>
        <v>0</v>
      </c>
      <c r="AC264" s="306">
        <f t="shared" si="55"/>
        <v>0</v>
      </c>
      <c r="AD264" s="305">
        <f>IFERROR(SUMIF(分娩監視装置!$C$30:$C$74,B264,分娩監視装置!$K$30:$K$74)*((分娩監視装置!$H$3-分娩監視装置!$I$3)/分娩監視装置!$H$3),0)</f>
        <v>0</v>
      </c>
      <c r="AE264" s="306">
        <f t="shared" si="70"/>
        <v>0</v>
      </c>
      <c r="AF264" s="305">
        <f>IFERROR(SUMIF(新生児モニタ!$C$30:$C$74,B264,新生児モニタ!$K$30:$K$74)*((新生児モニタ!$H$3-新生児モニタ!$I$3)/新生児モニタ!$H$3),0)</f>
        <v>0</v>
      </c>
      <c r="AG264" s="306">
        <f t="shared" si="71"/>
        <v>0</v>
      </c>
    </row>
    <row r="265" spans="2:33">
      <c r="B265" s="283" t="s">
        <v>1078</v>
      </c>
      <c r="C265" s="305">
        <f>IFERROR(SUMIF(初度設備!$C$30:$C$74,B265,初度設備!$K$30:$K$74)*((初度設備!$H$3-初度設備!$I$3)/初度設備!$H$3),0)</f>
        <v>0</v>
      </c>
      <c r="D265" s="306">
        <f t="shared" si="56"/>
        <v>0</v>
      </c>
      <c r="E265" s="305">
        <f>IFERROR(SUMIF(人工呼吸器!$C$30:$C$74,B265,人工呼吸器!$K$30:$K$74)*((人工呼吸器!$H$3-人工呼吸器!$I$3)/人工呼吸器!$H$3),0)</f>
        <v>0</v>
      </c>
      <c r="F265" s="306">
        <f t="shared" si="57"/>
        <v>0</v>
      </c>
      <c r="G265" s="306">
        <f t="shared" si="58"/>
        <v>0</v>
      </c>
      <c r="H265" s="306">
        <f t="shared" si="59"/>
        <v>0</v>
      </c>
      <c r="I265" s="305">
        <f>IFERROR(SUMIF(簡易陰圧装置!$C$30:$C$74,B265,簡易陰圧装置!$K$30:$K$74)*((簡易陰圧装置!$H$3-簡易陰圧装置!$I$3)/簡易陰圧装置!$H$3),0)</f>
        <v>0</v>
      </c>
      <c r="J265" s="306">
        <f t="shared" si="60"/>
        <v>0</v>
      </c>
      <c r="K265" s="305">
        <f>IFERROR(SUMIF(簡易ベッド!$C$30:$C$74,B265,簡易ベッド!$K$30:$K$74)*((簡易ベッド!$H$3-簡易ベッド!$I$3)/簡易ベッド!$H$3),0)</f>
        <v>0</v>
      </c>
      <c r="L265" s="306">
        <f t="shared" si="61"/>
        <v>0</v>
      </c>
      <c r="M265" s="305">
        <f>IFERROR(SUMIF(体外式膜型人工肺!$C$30:$C$74,B265,体外式膜型人工肺!$K$30:$K$74)*((体外式膜型人工肺!$H$3-体外式膜型人工肺!$I$3)/体外式膜型人工肺!$H$3),0)</f>
        <v>0</v>
      </c>
      <c r="N265" s="306">
        <f t="shared" si="62"/>
        <v>0</v>
      </c>
      <c r="O265" s="306">
        <f t="shared" si="63"/>
        <v>0</v>
      </c>
      <c r="P265" s="306">
        <f t="shared" si="64"/>
        <v>0</v>
      </c>
      <c r="Q265" s="305">
        <f>IFERROR(SUMIF(紫外線照射装置!$C$30:$C$74,B265,紫外線照射装置!$K$30:$K$74)*((紫外線照射装置!$H$3-紫外線照射装置!$I$3)/紫外線照射装置!$H$3),0)</f>
        <v>0</v>
      </c>
      <c r="R265" s="306">
        <f t="shared" si="65"/>
        <v>0</v>
      </c>
      <c r="S265" s="419">
        <f t="shared" si="66"/>
        <v>0</v>
      </c>
      <c r="T265" s="305">
        <f>IFERROR(SUMIF(超音波画像診断装置!$C$30:$C$74,B265,超音波画像診断装置!$K$30:$K$74)*((超音波画像診断装置!$H$3-超音波画像診断装置!$I$3)/超音波画像診断装置!$H$3),0)</f>
        <v>0</v>
      </c>
      <c r="U265" s="306">
        <f t="shared" si="67"/>
        <v>0</v>
      </c>
      <c r="V265" s="305">
        <f>IFERROR(SUMIF(血液浄化装置!$C$30:$C$74,B265,血液浄化装置!$K$30:$K$74)*((血液浄化装置!$H$3-血液浄化装置!$I$3)/血液浄化装置!$H$3),0)</f>
        <v>0</v>
      </c>
      <c r="W265" s="306">
        <f t="shared" si="68"/>
        <v>0</v>
      </c>
      <c r="X265" s="305">
        <f>IFERROR(SUMIF(気管支鏡!$C$30:$C$74,B265,気管支鏡!$K$30:$K$74)*((気管支鏡!$H$3-気管支鏡!$I$3)/気管支鏡!$H$3),0)</f>
        <v>0</v>
      </c>
      <c r="Y265" s="306">
        <f t="shared" si="54"/>
        <v>0</v>
      </c>
      <c r="Z265" s="305">
        <f>IFERROR(SUMIF(CT撮影装置!$C$30:$C$74,B265,CT撮影装置!$K$30:$K$74)*((CT撮影装置!$H$3-CT撮影装置!$I$3)/CT撮影装置!$H$3),0)</f>
        <v>0</v>
      </c>
      <c r="AA265" s="306">
        <f t="shared" si="69"/>
        <v>0</v>
      </c>
      <c r="AB265" s="305">
        <f>IFERROR(SUMIF(生体情報モニタ!$C$30:$C$74,B265,生体情報モニタ!$K$30:$K$74)*((生体情報モニタ!$H$3-生体情報モニタ!$I$3)/生体情報モニタ!$H$3),0)</f>
        <v>0</v>
      </c>
      <c r="AC265" s="306">
        <f t="shared" si="55"/>
        <v>0</v>
      </c>
      <c r="AD265" s="305">
        <f>IFERROR(SUMIF(分娩監視装置!$C$30:$C$74,B265,分娩監視装置!$K$30:$K$74)*((分娩監視装置!$H$3-分娩監視装置!$I$3)/分娩監視装置!$H$3),0)</f>
        <v>0</v>
      </c>
      <c r="AE265" s="306">
        <f t="shared" si="70"/>
        <v>0</v>
      </c>
      <c r="AF265" s="305">
        <f>IFERROR(SUMIF(新生児モニタ!$C$30:$C$74,B265,新生児モニタ!$K$30:$K$74)*((新生児モニタ!$H$3-新生児モニタ!$I$3)/新生児モニタ!$H$3),0)</f>
        <v>0</v>
      </c>
      <c r="AG265" s="306">
        <f t="shared" si="71"/>
        <v>0</v>
      </c>
    </row>
    <row r="266" spans="2:33">
      <c r="B266" s="283" t="s">
        <v>1079</v>
      </c>
      <c r="C266" s="305">
        <f>IFERROR(SUMIF(初度設備!$C$30:$C$74,B266,初度設備!$K$30:$K$74)*((初度設備!$H$3-初度設備!$I$3)/初度設備!$H$3),0)</f>
        <v>0</v>
      </c>
      <c r="D266" s="306">
        <f t="shared" si="56"/>
        <v>0</v>
      </c>
      <c r="E266" s="305">
        <f>IFERROR(SUMIF(人工呼吸器!$C$30:$C$74,B266,人工呼吸器!$K$30:$K$74)*((人工呼吸器!$H$3-人工呼吸器!$I$3)/人工呼吸器!$H$3),0)</f>
        <v>0</v>
      </c>
      <c r="F266" s="306">
        <f t="shared" si="57"/>
        <v>0</v>
      </c>
      <c r="G266" s="306">
        <f t="shared" si="58"/>
        <v>0</v>
      </c>
      <c r="H266" s="306">
        <f t="shared" si="59"/>
        <v>0</v>
      </c>
      <c r="I266" s="305">
        <f>IFERROR(SUMIF(簡易陰圧装置!$C$30:$C$74,B266,簡易陰圧装置!$K$30:$K$74)*((簡易陰圧装置!$H$3-簡易陰圧装置!$I$3)/簡易陰圧装置!$H$3),0)</f>
        <v>0</v>
      </c>
      <c r="J266" s="306">
        <f t="shared" si="60"/>
        <v>0</v>
      </c>
      <c r="K266" s="305">
        <f>IFERROR(SUMIF(簡易ベッド!$C$30:$C$74,B266,簡易ベッド!$K$30:$K$74)*((簡易ベッド!$H$3-簡易ベッド!$I$3)/簡易ベッド!$H$3),0)</f>
        <v>0</v>
      </c>
      <c r="L266" s="306">
        <f t="shared" si="61"/>
        <v>0</v>
      </c>
      <c r="M266" s="305">
        <f>IFERROR(SUMIF(体外式膜型人工肺!$C$30:$C$74,B266,体外式膜型人工肺!$K$30:$K$74)*((体外式膜型人工肺!$H$3-体外式膜型人工肺!$I$3)/体外式膜型人工肺!$H$3),0)</f>
        <v>0</v>
      </c>
      <c r="N266" s="306">
        <f t="shared" si="62"/>
        <v>0</v>
      </c>
      <c r="O266" s="306">
        <f t="shared" si="63"/>
        <v>0</v>
      </c>
      <c r="P266" s="306">
        <f t="shared" si="64"/>
        <v>0</v>
      </c>
      <c r="Q266" s="305">
        <f>IFERROR(SUMIF(紫外線照射装置!$C$30:$C$74,B266,紫外線照射装置!$K$30:$K$74)*((紫外線照射装置!$H$3-紫外線照射装置!$I$3)/紫外線照射装置!$H$3),0)</f>
        <v>0</v>
      </c>
      <c r="R266" s="306">
        <f t="shared" si="65"/>
        <v>0</v>
      </c>
      <c r="S266" s="419">
        <f t="shared" si="66"/>
        <v>0</v>
      </c>
      <c r="T266" s="305">
        <f>IFERROR(SUMIF(超音波画像診断装置!$C$30:$C$74,B266,超音波画像診断装置!$K$30:$K$74)*((超音波画像診断装置!$H$3-超音波画像診断装置!$I$3)/超音波画像診断装置!$H$3),0)</f>
        <v>0</v>
      </c>
      <c r="U266" s="306">
        <f t="shared" si="67"/>
        <v>0</v>
      </c>
      <c r="V266" s="305">
        <f>IFERROR(SUMIF(血液浄化装置!$C$30:$C$74,B266,血液浄化装置!$K$30:$K$74)*((血液浄化装置!$H$3-血液浄化装置!$I$3)/血液浄化装置!$H$3),0)</f>
        <v>0</v>
      </c>
      <c r="W266" s="306">
        <f t="shared" si="68"/>
        <v>0</v>
      </c>
      <c r="X266" s="305">
        <f>IFERROR(SUMIF(気管支鏡!$C$30:$C$74,B266,気管支鏡!$K$30:$K$74)*((気管支鏡!$H$3-気管支鏡!$I$3)/気管支鏡!$H$3),0)</f>
        <v>0</v>
      </c>
      <c r="Y266" s="306">
        <f t="shared" si="54"/>
        <v>0</v>
      </c>
      <c r="Z266" s="305">
        <f>IFERROR(SUMIF(CT撮影装置!$C$30:$C$74,B266,CT撮影装置!$K$30:$K$74)*((CT撮影装置!$H$3-CT撮影装置!$I$3)/CT撮影装置!$H$3),0)</f>
        <v>0</v>
      </c>
      <c r="AA266" s="306">
        <f t="shared" si="69"/>
        <v>0</v>
      </c>
      <c r="AB266" s="305">
        <f>IFERROR(SUMIF(生体情報モニタ!$C$30:$C$74,B266,生体情報モニタ!$K$30:$K$74)*((生体情報モニタ!$H$3-生体情報モニタ!$I$3)/生体情報モニタ!$H$3),0)</f>
        <v>0</v>
      </c>
      <c r="AC266" s="306">
        <f t="shared" si="55"/>
        <v>0</v>
      </c>
      <c r="AD266" s="305">
        <f>IFERROR(SUMIF(分娩監視装置!$C$30:$C$74,B266,分娩監視装置!$K$30:$K$74)*((分娩監視装置!$H$3-分娩監視装置!$I$3)/分娩監視装置!$H$3),0)</f>
        <v>0</v>
      </c>
      <c r="AE266" s="306">
        <f t="shared" si="70"/>
        <v>0</v>
      </c>
      <c r="AF266" s="305">
        <f>IFERROR(SUMIF(新生児モニタ!$C$30:$C$74,B266,新生児モニタ!$K$30:$K$74)*((新生児モニタ!$H$3-新生児モニタ!$I$3)/新生児モニタ!$H$3),0)</f>
        <v>0</v>
      </c>
      <c r="AG266" s="306">
        <f t="shared" si="71"/>
        <v>0</v>
      </c>
    </row>
    <row r="267" spans="2:33">
      <c r="B267" s="283" t="s">
        <v>1080</v>
      </c>
      <c r="C267" s="305">
        <f>IFERROR(SUMIF(初度設備!$C$30:$C$74,B267,初度設備!$K$30:$K$74)*((初度設備!$H$3-初度設備!$I$3)/初度設備!$H$3),0)</f>
        <v>0</v>
      </c>
      <c r="D267" s="306">
        <f t="shared" si="56"/>
        <v>0</v>
      </c>
      <c r="E267" s="305">
        <f>IFERROR(SUMIF(人工呼吸器!$C$30:$C$74,B267,人工呼吸器!$K$30:$K$74)*((人工呼吸器!$H$3-人工呼吸器!$I$3)/人工呼吸器!$H$3),0)</f>
        <v>0</v>
      </c>
      <c r="F267" s="306">
        <f t="shared" si="57"/>
        <v>0</v>
      </c>
      <c r="G267" s="306">
        <f t="shared" si="58"/>
        <v>0</v>
      </c>
      <c r="H267" s="306">
        <f t="shared" si="59"/>
        <v>0</v>
      </c>
      <c r="I267" s="305">
        <f>IFERROR(SUMIF(簡易陰圧装置!$C$30:$C$74,B267,簡易陰圧装置!$K$30:$K$74)*((簡易陰圧装置!$H$3-簡易陰圧装置!$I$3)/簡易陰圧装置!$H$3),0)</f>
        <v>0</v>
      </c>
      <c r="J267" s="306">
        <f t="shared" si="60"/>
        <v>0</v>
      </c>
      <c r="K267" s="305">
        <f>IFERROR(SUMIF(簡易ベッド!$C$30:$C$74,B267,簡易ベッド!$K$30:$K$74)*((簡易ベッド!$H$3-簡易ベッド!$I$3)/簡易ベッド!$H$3),0)</f>
        <v>0</v>
      </c>
      <c r="L267" s="306">
        <f t="shared" si="61"/>
        <v>0</v>
      </c>
      <c r="M267" s="305">
        <f>IFERROR(SUMIF(体外式膜型人工肺!$C$30:$C$74,B267,体外式膜型人工肺!$K$30:$K$74)*((体外式膜型人工肺!$H$3-体外式膜型人工肺!$I$3)/体外式膜型人工肺!$H$3),0)</f>
        <v>0</v>
      </c>
      <c r="N267" s="306">
        <f t="shared" si="62"/>
        <v>0</v>
      </c>
      <c r="O267" s="306">
        <f t="shared" si="63"/>
        <v>0</v>
      </c>
      <c r="P267" s="306">
        <f t="shared" si="64"/>
        <v>0</v>
      </c>
      <c r="Q267" s="305">
        <f>IFERROR(SUMIF(紫外線照射装置!$C$30:$C$74,B267,紫外線照射装置!$K$30:$K$74)*((紫外線照射装置!$H$3-紫外線照射装置!$I$3)/紫外線照射装置!$H$3),0)</f>
        <v>0</v>
      </c>
      <c r="R267" s="306">
        <f t="shared" si="65"/>
        <v>0</v>
      </c>
      <c r="S267" s="419">
        <f t="shared" si="66"/>
        <v>0</v>
      </c>
      <c r="T267" s="305">
        <f>IFERROR(SUMIF(超音波画像診断装置!$C$30:$C$74,B267,超音波画像診断装置!$K$30:$K$74)*((超音波画像診断装置!$H$3-超音波画像診断装置!$I$3)/超音波画像診断装置!$H$3),0)</f>
        <v>0</v>
      </c>
      <c r="U267" s="306">
        <f t="shared" si="67"/>
        <v>0</v>
      </c>
      <c r="V267" s="305">
        <f>IFERROR(SUMIF(血液浄化装置!$C$30:$C$74,B267,血液浄化装置!$K$30:$K$74)*((血液浄化装置!$H$3-血液浄化装置!$I$3)/血液浄化装置!$H$3),0)</f>
        <v>0</v>
      </c>
      <c r="W267" s="306">
        <f t="shared" si="68"/>
        <v>0</v>
      </c>
      <c r="X267" s="305">
        <f>IFERROR(SUMIF(気管支鏡!$C$30:$C$74,B267,気管支鏡!$K$30:$K$74)*((気管支鏡!$H$3-気管支鏡!$I$3)/気管支鏡!$H$3),0)</f>
        <v>0</v>
      </c>
      <c r="Y267" s="306">
        <f t="shared" si="54"/>
        <v>0</v>
      </c>
      <c r="Z267" s="305">
        <f>IFERROR(SUMIF(CT撮影装置!$C$30:$C$74,B267,CT撮影装置!$K$30:$K$74)*((CT撮影装置!$H$3-CT撮影装置!$I$3)/CT撮影装置!$H$3),0)</f>
        <v>0</v>
      </c>
      <c r="AA267" s="306">
        <f t="shared" si="69"/>
        <v>0</v>
      </c>
      <c r="AB267" s="305">
        <f>IFERROR(SUMIF(生体情報モニタ!$C$30:$C$74,B267,生体情報モニタ!$K$30:$K$74)*((生体情報モニタ!$H$3-生体情報モニタ!$I$3)/生体情報モニタ!$H$3),0)</f>
        <v>0</v>
      </c>
      <c r="AC267" s="306">
        <f t="shared" si="55"/>
        <v>0</v>
      </c>
      <c r="AD267" s="305">
        <f>IFERROR(SUMIF(分娩監視装置!$C$30:$C$74,B267,分娩監視装置!$K$30:$K$74)*((分娩監視装置!$H$3-分娩監視装置!$I$3)/分娩監視装置!$H$3),0)</f>
        <v>0</v>
      </c>
      <c r="AE267" s="306">
        <f t="shared" si="70"/>
        <v>0</v>
      </c>
      <c r="AF267" s="305">
        <f>IFERROR(SUMIF(新生児モニタ!$C$30:$C$74,B267,新生児モニタ!$K$30:$K$74)*((新生児モニタ!$H$3-新生児モニタ!$I$3)/新生児モニタ!$H$3),0)</f>
        <v>0</v>
      </c>
      <c r="AG267" s="306">
        <f t="shared" si="71"/>
        <v>0</v>
      </c>
    </row>
    <row r="268" spans="2:33">
      <c r="B268" s="283" t="s">
        <v>1081</v>
      </c>
      <c r="C268" s="305">
        <f>IFERROR(SUMIF(初度設備!$C$30:$C$74,B268,初度設備!$K$30:$K$74)*((初度設備!$H$3-初度設備!$I$3)/初度設備!$H$3),0)</f>
        <v>0</v>
      </c>
      <c r="D268" s="306">
        <f t="shared" si="56"/>
        <v>0</v>
      </c>
      <c r="E268" s="305">
        <f>IFERROR(SUMIF(人工呼吸器!$C$30:$C$74,B268,人工呼吸器!$K$30:$K$74)*((人工呼吸器!$H$3-人工呼吸器!$I$3)/人工呼吸器!$H$3),0)</f>
        <v>0</v>
      </c>
      <c r="F268" s="306">
        <f t="shared" si="57"/>
        <v>0</v>
      </c>
      <c r="G268" s="306">
        <f t="shared" si="58"/>
        <v>0</v>
      </c>
      <c r="H268" s="306">
        <f t="shared" si="59"/>
        <v>0</v>
      </c>
      <c r="I268" s="305">
        <f>IFERROR(SUMIF(簡易陰圧装置!$C$30:$C$74,B268,簡易陰圧装置!$K$30:$K$74)*((簡易陰圧装置!$H$3-簡易陰圧装置!$I$3)/簡易陰圧装置!$H$3),0)</f>
        <v>0</v>
      </c>
      <c r="J268" s="306">
        <f t="shared" si="60"/>
        <v>0</v>
      </c>
      <c r="K268" s="305">
        <f>IFERROR(SUMIF(簡易ベッド!$C$30:$C$74,B268,簡易ベッド!$K$30:$K$74)*((簡易ベッド!$H$3-簡易ベッド!$I$3)/簡易ベッド!$H$3),0)</f>
        <v>0</v>
      </c>
      <c r="L268" s="306">
        <f t="shared" si="61"/>
        <v>0</v>
      </c>
      <c r="M268" s="305">
        <f>IFERROR(SUMIF(体外式膜型人工肺!$C$30:$C$74,B268,体外式膜型人工肺!$K$30:$K$74)*((体外式膜型人工肺!$H$3-体外式膜型人工肺!$I$3)/体外式膜型人工肺!$H$3),0)</f>
        <v>0</v>
      </c>
      <c r="N268" s="306">
        <f t="shared" si="62"/>
        <v>0</v>
      </c>
      <c r="O268" s="306">
        <f t="shared" si="63"/>
        <v>0</v>
      </c>
      <c r="P268" s="306">
        <f t="shared" si="64"/>
        <v>0</v>
      </c>
      <c r="Q268" s="305">
        <f>IFERROR(SUMIF(紫外線照射装置!$C$30:$C$74,B268,紫外線照射装置!$K$30:$K$74)*((紫外線照射装置!$H$3-紫外線照射装置!$I$3)/紫外線照射装置!$H$3),0)</f>
        <v>0</v>
      </c>
      <c r="R268" s="306">
        <f t="shared" si="65"/>
        <v>0</v>
      </c>
      <c r="S268" s="419">
        <f t="shared" si="66"/>
        <v>0</v>
      </c>
      <c r="T268" s="305">
        <f>IFERROR(SUMIF(超音波画像診断装置!$C$30:$C$74,B268,超音波画像診断装置!$K$30:$K$74)*((超音波画像診断装置!$H$3-超音波画像診断装置!$I$3)/超音波画像診断装置!$H$3),0)</f>
        <v>0</v>
      </c>
      <c r="U268" s="306">
        <f t="shared" si="67"/>
        <v>0</v>
      </c>
      <c r="V268" s="305">
        <f>IFERROR(SUMIF(血液浄化装置!$C$30:$C$74,B268,血液浄化装置!$K$30:$K$74)*((血液浄化装置!$H$3-血液浄化装置!$I$3)/血液浄化装置!$H$3),0)</f>
        <v>0</v>
      </c>
      <c r="W268" s="306">
        <f t="shared" si="68"/>
        <v>0</v>
      </c>
      <c r="X268" s="305">
        <f>IFERROR(SUMIF(気管支鏡!$C$30:$C$74,B268,気管支鏡!$K$30:$K$74)*((気管支鏡!$H$3-気管支鏡!$I$3)/気管支鏡!$H$3),0)</f>
        <v>0</v>
      </c>
      <c r="Y268" s="306">
        <f t="shared" si="54"/>
        <v>0</v>
      </c>
      <c r="Z268" s="305">
        <f>IFERROR(SUMIF(CT撮影装置!$C$30:$C$74,B268,CT撮影装置!$K$30:$K$74)*((CT撮影装置!$H$3-CT撮影装置!$I$3)/CT撮影装置!$H$3),0)</f>
        <v>0</v>
      </c>
      <c r="AA268" s="306">
        <f t="shared" si="69"/>
        <v>0</v>
      </c>
      <c r="AB268" s="305">
        <f>IFERROR(SUMIF(生体情報モニタ!$C$30:$C$74,B268,生体情報モニタ!$K$30:$K$74)*((生体情報モニタ!$H$3-生体情報モニタ!$I$3)/生体情報モニタ!$H$3),0)</f>
        <v>0</v>
      </c>
      <c r="AC268" s="306">
        <f t="shared" si="55"/>
        <v>0</v>
      </c>
      <c r="AD268" s="305">
        <f>IFERROR(SUMIF(分娩監視装置!$C$30:$C$74,B268,分娩監視装置!$K$30:$K$74)*((分娩監視装置!$H$3-分娩監視装置!$I$3)/分娩監視装置!$H$3),0)</f>
        <v>0</v>
      </c>
      <c r="AE268" s="306">
        <f t="shared" si="70"/>
        <v>0</v>
      </c>
      <c r="AF268" s="305">
        <f>IFERROR(SUMIF(新生児モニタ!$C$30:$C$74,B268,新生児モニタ!$K$30:$K$74)*((新生児モニタ!$H$3-新生児モニタ!$I$3)/新生児モニタ!$H$3),0)</f>
        <v>0</v>
      </c>
      <c r="AG268" s="306">
        <f t="shared" si="71"/>
        <v>0</v>
      </c>
    </row>
    <row r="269" spans="2:33">
      <c r="B269" s="283" t="s">
        <v>1082</v>
      </c>
      <c r="C269" s="305">
        <f>IFERROR(SUMIF(初度設備!$C$30:$C$74,B269,初度設備!$K$30:$K$74)*((初度設備!$H$3-初度設備!$I$3)/初度設備!$H$3),0)</f>
        <v>0</v>
      </c>
      <c r="D269" s="306">
        <f t="shared" si="56"/>
        <v>0</v>
      </c>
      <c r="E269" s="305">
        <f>IFERROR(SUMIF(人工呼吸器!$C$30:$C$74,B269,人工呼吸器!$K$30:$K$74)*((人工呼吸器!$H$3-人工呼吸器!$I$3)/人工呼吸器!$H$3),0)</f>
        <v>0</v>
      </c>
      <c r="F269" s="306">
        <f t="shared" si="57"/>
        <v>0</v>
      </c>
      <c r="G269" s="306">
        <f t="shared" si="58"/>
        <v>0</v>
      </c>
      <c r="H269" s="306">
        <f t="shared" si="59"/>
        <v>0</v>
      </c>
      <c r="I269" s="305">
        <f>IFERROR(SUMIF(簡易陰圧装置!$C$30:$C$74,B269,簡易陰圧装置!$K$30:$K$74)*((簡易陰圧装置!$H$3-簡易陰圧装置!$I$3)/簡易陰圧装置!$H$3),0)</f>
        <v>0</v>
      </c>
      <c r="J269" s="306">
        <f t="shared" si="60"/>
        <v>0</v>
      </c>
      <c r="K269" s="305">
        <f>IFERROR(SUMIF(簡易ベッド!$C$30:$C$74,B269,簡易ベッド!$K$30:$K$74)*((簡易ベッド!$H$3-簡易ベッド!$I$3)/簡易ベッド!$H$3),0)</f>
        <v>0</v>
      </c>
      <c r="L269" s="306">
        <f t="shared" si="61"/>
        <v>0</v>
      </c>
      <c r="M269" s="305">
        <f>IFERROR(SUMIF(体外式膜型人工肺!$C$30:$C$74,B269,体外式膜型人工肺!$K$30:$K$74)*((体外式膜型人工肺!$H$3-体外式膜型人工肺!$I$3)/体外式膜型人工肺!$H$3),0)</f>
        <v>0</v>
      </c>
      <c r="N269" s="306">
        <f t="shared" si="62"/>
        <v>0</v>
      </c>
      <c r="O269" s="306">
        <f t="shared" si="63"/>
        <v>0</v>
      </c>
      <c r="P269" s="306">
        <f t="shared" si="64"/>
        <v>0</v>
      </c>
      <c r="Q269" s="305">
        <f>IFERROR(SUMIF(紫外線照射装置!$C$30:$C$74,B269,紫外線照射装置!$K$30:$K$74)*((紫外線照射装置!$H$3-紫外線照射装置!$I$3)/紫外線照射装置!$H$3),0)</f>
        <v>0</v>
      </c>
      <c r="R269" s="306">
        <f t="shared" si="65"/>
        <v>0</v>
      </c>
      <c r="S269" s="419">
        <f t="shared" si="66"/>
        <v>0</v>
      </c>
      <c r="T269" s="305">
        <f>IFERROR(SUMIF(超音波画像診断装置!$C$30:$C$74,B269,超音波画像診断装置!$K$30:$K$74)*((超音波画像診断装置!$H$3-超音波画像診断装置!$I$3)/超音波画像診断装置!$H$3),0)</f>
        <v>0</v>
      </c>
      <c r="U269" s="306">
        <f t="shared" si="67"/>
        <v>0</v>
      </c>
      <c r="V269" s="305">
        <f>IFERROR(SUMIF(血液浄化装置!$C$30:$C$74,B269,血液浄化装置!$K$30:$K$74)*((血液浄化装置!$H$3-血液浄化装置!$I$3)/血液浄化装置!$H$3),0)</f>
        <v>0</v>
      </c>
      <c r="W269" s="306">
        <f t="shared" si="68"/>
        <v>0</v>
      </c>
      <c r="X269" s="305">
        <f>IFERROR(SUMIF(気管支鏡!$C$30:$C$74,B269,気管支鏡!$K$30:$K$74)*((気管支鏡!$H$3-気管支鏡!$I$3)/気管支鏡!$H$3),0)</f>
        <v>0</v>
      </c>
      <c r="Y269" s="306">
        <f t="shared" si="54"/>
        <v>0</v>
      </c>
      <c r="Z269" s="305">
        <f>IFERROR(SUMIF(CT撮影装置!$C$30:$C$74,B269,CT撮影装置!$K$30:$K$74)*((CT撮影装置!$H$3-CT撮影装置!$I$3)/CT撮影装置!$H$3),0)</f>
        <v>0</v>
      </c>
      <c r="AA269" s="306">
        <f t="shared" si="69"/>
        <v>0</v>
      </c>
      <c r="AB269" s="305">
        <f>IFERROR(SUMIF(生体情報モニタ!$C$30:$C$74,B269,生体情報モニタ!$K$30:$K$74)*((生体情報モニタ!$H$3-生体情報モニタ!$I$3)/生体情報モニタ!$H$3),0)</f>
        <v>0</v>
      </c>
      <c r="AC269" s="306">
        <f t="shared" si="55"/>
        <v>0</v>
      </c>
      <c r="AD269" s="305">
        <f>IFERROR(SUMIF(分娩監視装置!$C$30:$C$74,B269,分娩監視装置!$K$30:$K$74)*((分娩監視装置!$H$3-分娩監視装置!$I$3)/分娩監視装置!$H$3),0)</f>
        <v>0</v>
      </c>
      <c r="AE269" s="306">
        <f t="shared" si="70"/>
        <v>0</v>
      </c>
      <c r="AF269" s="305">
        <f>IFERROR(SUMIF(新生児モニタ!$C$30:$C$74,B269,新生児モニタ!$K$30:$K$74)*((新生児モニタ!$H$3-新生児モニタ!$I$3)/新生児モニタ!$H$3),0)</f>
        <v>0</v>
      </c>
      <c r="AG269" s="306">
        <f t="shared" si="71"/>
        <v>0</v>
      </c>
    </row>
    <row r="270" spans="2:33">
      <c r="B270" s="283" t="s">
        <v>1083</v>
      </c>
      <c r="C270" s="305">
        <f>IFERROR(SUMIF(初度設備!$C$30:$C$74,B270,初度設備!$K$30:$K$74)*((初度設備!$H$3-初度設備!$I$3)/初度設備!$H$3),0)</f>
        <v>0</v>
      </c>
      <c r="D270" s="306">
        <f t="shared" si="56"/>
        <v>0</v>
      </c>
      <c r="E270" s="305">
        <f>IFERROR(SUMIF(人工呼吸器!$C$30:$C$74,B270,人工呼吸器!$K$30:$K$74)*((人工呼吸器!$H$3-人工呼吸器!$I$3)/人工呼吸器!$H$3),0)</f>
        <v>0</v>
      </c>
      <c r="F270" s="306">
        <f t="shared" si="57"/>
        <v>0</v>
      </c>
      <c r="G270" s="306">
        <f t="shared" si="58"/>
        <v>0</v>
      </c>
      <c r="H270" s="306">
        <f t="shared" si="59"/>
        <v>0</v>
      </c>
      <c r="I270" s="305">
        <f>IFERROR(SUMIF(簡易陰圧装置!$C$30:$C$74,B270,簡易陰圧装置!$K$30:$K$74)*((簡易陰圧装置!$H$3-簡易陰圧装置!$I$3)/簡易陰圧装置!$H$3),0)</f>
        <v>0</v>
      </c>
      <c r="J270" s="306">
        <f t="shared" si="60"/>
        <v>0</v>
      </c>
      <c r="K270" s="305">
        <f>IFERROR(SUMIF(簡易ベッド!$C$30:$C$74,B270,簡易ベッド!$K$30:$K$74)*((簡易ベッド!$H$3-簡易ベッド!$I$3)/簡易ベッド!$H$3),0)</f>
        <v>0</v>
      </c>
      <c r="L270" s="306">
        <f t="shared" si="61"/>
        <v>0</v>
      </c>
      <c r="M270" s="305">
        <f>IFERROR(SUMIF(体外式膜型人工肺!$C$30:$C$74,B270,体外式膜型人工肺!$K$30:$K$74)*((体外式膜型人工肺!$H$3-体外式膜型人工肺!$I$3)/体外式膜型人工肺!$H$3),0)</f>
        <v>0</v>
      </c>
      <c r="N270" s="306">
        <f t="shared" si="62"/>
        <v>0</v>
      </c>
      <c r="O270" s="306">
        <f t="shared" si="63"/>
        <v>0</v>
      </c>
      <c r="P270" s="306">
        <f t="shared" si="64"/>
        <v>0</v>
      </c>
      <c r="Q270" s="305">
        <f>IFERROR(SUMIF(紫外線照射装置!$C$30:$C$74,B270,紫外線照射装置!$K$30:$K$74)*((紫外線照射装置!$H$3-紫外線照射装置!$I$3)/紫外線照射装置!$H$3),0)</f>
        <v>0</v>
      </c>
      <c r="R270" s="306">
        <f t="shared" si="65"/>
        <v>0</v>
      </c>
      <c r="S270" s="419">
        <f t="shared" si="66"/>
        <v>0</v>
      </c>
      <c r="T270" s="305">
        <f>IFERROR(SUMIF(超音波画像診断装置!$C$30:$C$74,B270,超音波画像診断装置!$K$30:$K$74)*((超音波画像診断装置!$H$3-超音波画像診断装置!$I$3)/超音波画像診断装置!$H$3),0)</f>
        <v>0</v>
      </c>
      <c r="U270" s="306">
        <f t="shared" si="67"/>
        <v>0</v>
      </c>
      <c r="V270" s="305">
        <f>IFERROR(SUMIF(血液浄化装置!$C$30:$C$74,B270,血液浄化装置!$K$30:$K$74)*((血液浄化装置!$H$3-血液浄化装置!$I$3)/血液浄化装置!$H$3),0)</f>
        <v>0</v>
      </c>
      <c r="W270" s="306">
        <f t="shared" si="68"/>
        <v>0</v>
      </c>
      <c r="X270" s="305">
        <f>IFERROR(SUMIF(気管支鏡!$C$30:$C$74,B270,気管支鏡!$K$30:$K$74)*((気管支鏡!$H$3-気管支鏡!$I$3)/気管支鏡!$H$3),0)</f>
        <v>0</v>
      </c>
      <c r="Y270" s="306">
        <f t="shared" si="54"/>
        <v>0</v>
      </c>
      <c r="Z270" s="305">
        <f>IFERROR(SUMIF(CT撮影装置!$C$30:$C$74,B270,CT撮影装置!$K$30:$K$74)*((CT撮影装置!$H$3-CT撮影装置!$I$3)/CT撮影装置!$H$3),0)</f>
        <v>0</v>
      </c>
      <c r="AA270" s="306">
        <f t="shared" si="69"/>
        <v>0</v>
      </c>
      <c r="AB270" s="305">
        <f>IFERROR(SUMIF(生体情報モニタ!$C$30:$C$74,B270,生体情報モニタ!$K$30:$K$74)*((生体情報モニタ!$H$3-生体情報モニタ!$I$3)/生体情報モニタ!$H$3),0)</f>
        <v>0</v>
      </c>
      <c r="AC270" s="306">
        <f t="shared" si="55"/>
        <v>0</v>
      </c>
      <c r="AD270" s="305">
        <f>IFERROR(SUMIF(分娩監視装置!$C$30:$C$74,B270,分娩監視装置!$K$30:$K$74)*((分娩監視装置!$H$3-分娩監視装置!$I$3)/分娩監視装置!$H$3),0)</f>
        <v>0</v>
      </c>
      <c r="AE270" s="306">
        <f t="shared" si="70"/>
        <v>0</v>
      </c>
      <c r="AF270" s="305">
        <f>IFERROR(SUMIF(新生児モニタ!$C$30:$C$74,B270,新生児モニタ!$K$30:$K$74)*((新生児モニタ!$H$3-新生児モニタ!$I$3)/新生児モニタ!$H$3),0)</f>
        <v>0</v>
      </c>
      <c r="AG270" s="306">
        <f t="shared" si="71"/>
        <v>0</v>
      </c>
    </row>
    <row r="271" spans="2:33">
      <c r="B271" s="283" t="s">
        <v>1084</v>
      </c>
      <c r="C271" s="305">
        <f>IFERROR(SUMIF(初度設備!$C$30:$C$74,B271,初度設備!$K$30:$K$74)*((初度設備!$H$3-初度設備!$I$3)/初度設備!$H$3),0)</f>
        <v>0</v>
      </c>
      <c r="D271" s="306">
        <f t="shared" si="56"/>
        <v>0</v>
      </c>
      <c r="E271" s="305">
        <f>IFERROR(SUMIF(人工呼吸器!$C$30:$C$74,B271,人工呼吸器!$K$30:$K$74)*((人工呼吸器!$H$3-人工呼吸器!$I$3)/人工呼吸器!$H$3),0)</f>
        <v>0</v>
      </c>
      <c r="F271" s="306">
        <f t="shared" si="57"/>
        <v>0</v>
      </c>
      <c r="G271" s="306">
        <f t="shared" si="58"/>
        <v>0</v>
      </c>
      <c r="H271" s="306">
        <f t="shared" si="59"/>
        <v>0</v>
      </c>
      <c r="I271" s="305">
        <f>IFERROR(SUMIF(簡易陰圧装置!$C$30:$C$74,B271,簡易陰圧装置!$K$30:$K$74)*((簡易陰圧装置!$H$3-簡易陰圧装置!$I$3)/簡易陰圧装置!$H$3),0)</f>
        <v>0</v>
      </c>
      <c r="J271" s="306">
        <f t="shared" si="60"/>
        <v>0</v>
      </c>
      <c r="K271" s="305">
        <f>IFERROR(SUMIF(簡易ベッド!$C$30:$C$74,B271,簡易ベッド!$K$30:$K$74)*((簡易ベッド!$H$3-簡易ベッド!$I$3)/簡易ベッド!$H$3),0)</f>
        <v>0</v>
      </c>
      <c r="L271" s="306">
        <f t="shared" si="61"/>
        <v>0</v>
      </c>
      <c r="M271" s="305">
        <f>IFERROR(SUMIF(体外式膜型人工肺!$C$30:$C$74,B271,体外式膜型人工肺!$K$30:$K$74)*((体外式膜型人工肺!$H$3-体外式膜型人工肺!$I$3)/体外式膜型人工肺!$H$3),0)</f>
        <v>0</v>
      </c>
      <c r="N271" s="306">
        <f t="shared" si="62"/>
        <v>0</v>
      </c>
      <c r="O271" s="306">
        <f t="shared" si="63"/>
        <v>0</v>
      </c>
      <c r="P271" s="306">
        <f t="shared" si="64"/>
        <v>0</v>
      </c>
      <c r="Q271" s="305">
        <f>IFERROR(SUMIF(紫外線照射装置!$C$30:$C$74,B271,紫外線照射装置!$K$30:$K$74)*((紫外線照射装置!$H$3-紫外線照射装置!$I$3)/紫外線照射装置!$H$3),0)</f>
        <v>0</v>
      </c>
      <c r="R271" s="306">
        <f t="shared" si="65"/>
        <v>0</v>
      </c>
      <c r="S271" s="419">
        <f t="shared" si="66"/>
        <v>0</v>
      </c>
      <c r="T271" s="305">
        <f>IFERROR(SUMIF(超音波画像診断装置!$C$30:$C$74,B271,超音波画像診断装置!$K$30:$K$74)*((超音波画像診断装置!$H$3-超音波画像診断装置!$I$3)/超音波画像診断装置!$H$3),0)</f>
        <v>0</v>
      </c>
      <c r="U271" s="306">
        <f t="shared" si="67"/>
        <v>0</v>
      </c>
      <c r="V271" s="305">
        <f>IFERROR(SUMIF(血液浄化装置!$C$30:$C$74,B271,血液浄化装置!$K$30:$K$74)*((血液浄化装置!$H$3-血液浄化装置!$I$3)/血液浄化装置!$H$3),0)</f>
        <v>0</v>
      </c>
      <c r="W271" s="306">
        <f t="shared" si="68"/>
        <v>0</v>
      </c>
      <c r="X271" s="305">
        <f>IFERROR(SUMIF(気管支鏡!$C$30:$C$74,B271,気管支鏡!$K$30:$K$74)*((気管支鏡!$H$3-気管支鏡!$I$3)/気管支鏡!$H$3),0)</f>
        <v>0</v>
      </c>
      <c r="Y271" s="306">
        <f t="shared" si="54"/>
        <v>0</v>
      </c>
      <c r="Z271" s="305">
        <f>IFERROR(SUMIF(CT撮影装置!$C$30:$C$74,B271,CT撮影装置!$K$30:$K$74)*((CT撮影装置!$H$3-CT撮影装置!$I$3)/CT撮影装置!$H$3),0)</f>
        <v>0</v>
      </c>
      <c r="AA271" s="306">
        <f t="shared" si="69"/>
        <v>0</v>
      </c>
      <c r="AB271" s="305">
        <f>IFERROR(SUMIF(生体情報モニタ!$C$30:$C$74,B271,生体情報モニタ!$K$30:$K$74)*((生体情報モニタ!$H$3-生体情報モニタ!$I$3)/生体情報モニタ!$H$3),0)</f>
        <v>0</v>
      </c>
      <c r="AC271" s="306">
        <f t="shared" si="55"/>
        <v>0</v>
      </c>
      <c r="AD271" s="305">
        <f>IFERROR(SUMIF(分娩監視装置!$C$30:$C$74,B271,分娩監視装置!$K$30:$K$74)*((分娩監視装置!$H$3-分娩監視装置!$I$3)/分娩監視装置!$H$3),0)</f>
        <v>0</v>
      </c>
      <c r="AE271" s="306">
        <f t="shared" si="70"/>
        <v>0</v>
      </c>
      <c r="AF271" s="305">
        <f>IFERROR(SUMIF(新生児モニタ!$C$30:$C$74,B271,新生児モニタ!$K$30:$K$74)*((新生児モニタ!$H$3-新生児モニタ!$I$3)/新生児モニタ!$H$3),0)</f>
        <v>0</v>
      </c>
      <c r="AG271" s="306">
        <f t="shared" si="71"/>
        <v>0</v>
      </c>
    </row>
    <row r="272" spans="2:33">
      <c r="B272" s="283" t="s">
        <v>1085</v>
      </c>
      <c r="C272" s="305">
        <f>IFERROR(SUMIF(初度設備!$C$30:$C$74,B272,初度設備!$K$30:$K$74)*((初度設備!$H$3-初度設備!$I$3)/初度設備!$H$3),0)</f>
        <v>0</v>
      </c>
      <c r="D272" s="306">
        <f t="shared" si="56"/>
        <v>0</v>
      </c>
      <c r="E272" s="305">
        <f>IFERROR(SUMIF(人工呼吸器!$C$30:$C$74,B272,人工呼吸器!$K$30:$K$74)*((人工呼吸器!$H$3-人工呼吸器!$I$3)/人工呼吸器!$H$3),0)</f>
        <v>0</v>
      </c>
      <c r="F272" s="306">
        <f t="shared" si="57"/>
        <v>0</v>
      </c>
      <c r="G272" s="306">
        <f t="shared" si="58"/>
        <v>0</v>
      </c>
      <c r="H272" s="306">
        <f t="shared" si="59"/>
        <v>0</v>
      </c>
      <c r="I272" s="305">
        <f>IFERROR(SUMIF(簡易陰圧装置!$C$30:$C$74,B272,簡易陰圧装置!$K$30:$K$74)*((簡易陰圧装置!$H$3-簡易陰圧装置!$I$3)/簡易陰圧装置!$H$3),0)</f>
        <v>0</v>
      </c>
      <c r="J272" s="306">
        <f t="shared" si="60"/>
        <v>0</v>
      </c>
      <c r="K272" s="305">
        <f>IFERROR(SUMIF(簡易ベッド!$C$30:$C$74,B272,簡易ベッド!$K$30:$K$74)*((簡易ベッド!$H$3-簡易ベッド!$I$3)/簡易ベッド!$H$3),0)</f>
        <v>0</v>
      </c>
      <c r="L272" s="306">
        <f t="shared" si="61"/>
        <v>0</v>
      </c>
      <c r="M272" s="305">
        <f>IFERROR(SUMIF(体外式膜型人工肺!$C$30:$C$74,B272,体外式膜型人工肺!$K$30:$K$74)*((体外式膜型人工肺!$H$3-体外式膜型人工肺!$I$3)/体外式膜型人工肺!$H$3),0)</f>
        <v>0</v>
      </c>
      <c r="N272" s="306">
        <f t="shared" si="62"/>
        <v>0</v>
      </c>
      <c r="O272" s="306">
        <f t="shared" si="63"/>
        <v>0</v>
      </c>
      <c r="P272" s="306">
        <f t="shared" si="64"/>
        <v>0</v>
      </c>
      <c r="Q272" s="305">
        <f>IFERROR(SUMIF(紫外線照射装置!$C$30:$C$74,B272,紫外線照射装置!$K$30:$K$74)*((紫外線照射装置!$H$3-紫外線照射装置!$I$3)/紫外線照射装置!$H$3),0)</f>
        <v>0</v>
      </c>
      <c r="R272" s="306">
        <f t="shared" si="65"/>
        <v>0</v>
      </c>
      <c r="S272" s="419">
        <f t="shared" si="66"/>
        <v>0</v>
      </c>
      <c r="T272" s="305">
        <f>IFERROR(SUMIF(超音波画像診断装置!$C$30:$C$74,B272,超音波画像診断装置!$K$30:$K$74)*((超音波画像診断装置!$H$3-超音波画像診断装置!$I$3)/超音波画像診断装置!$H$3),0)</f>
        <v>0</v>
      </c>
      <c r="U272" s="306">
        <f t="shared" si="67"/>
        <v>0</v>
      </c>
      <c r="V272" s="305">
        <f>IFERROR(SUMIF(血液浄化装置!$C$30:$C$74,B272,血液浄化装置!$K$30:$K$74)*((血液浄化装置!$H$3-血液浄化装置!$I$3)/血液浄化装置!$H$3),0)</f>
        <v>0</v>
      </c>
      <c r="W272" s="306">
        <f t="shared" si="68"/>
        <v>0</v>
      </c>
      <c r="X272" s="305">
        <f>IFERROR(SUMIF(気管支鏡!$C$30:$C$74,B272,気管支鏡!$K$30:$K$74)*((気管支鏡!$H$3-気管支鏡!$I$3)/気管支鏡!$H$3),0)</f>
        <v>0</v>
      </c>
      <c r="Y272" s="306">
        <f t="shared" si="54"/>
        <v>0</v>
      </c>
      <c r="Z272" s="305">
        <f>IFERROR(SUMIF(CT撮影装置!$C$30:$C$74,B272,CT撮影装置!$K$30:$K$74)*((CT撮影装置!$H$3-CT撮影装置!$I$3)/CT撮影装置!$H$3),0)</f>
        <v>0</v>
      </c>
      <c r="AA272" s="306">
        <f t="shared" si="69"/>
        <v>0</v>
      </c>
      <c r="AB272" s="305">
        <f>IFERROR(SUMIF(生体情報モニタ!$C$30:$C$74,B272,生体情報モニタ!$K$30:$K$74)*((生体情報モニタ!$H$3-生体情報モニタ!$I$3)/生体情報モニタ!$H$3),0)</f>
        <v>0</v>
      </c>
      <c r="AC272" s="306">
        <f t="shared" si="55"/>
        <v>0</v>
      </c>
      <c r="AD272" s="305">
        <f>IFERROR(SUMIF(分娩監視装置!$C$30:$C$74,B272,分娩監視装置!$K$30:$K$74)*((分娩監視装置!$H$3-分娩監視装置!$I$3)/分娩監視装置!$H$3),0)</f>
        <v>0</v>
      </c>
      <c r="AE272" s="306">
        <f t="shared" si="70"/>
        <v>0</v>
      </c>
      <c r="AF272" s="305">
        <f>IFERROR(SUMIF(新生児モニタ!$C$30:$C$74,B272,新生児モニタ!$K$30:$K$74)*((新生児モニタ!$H$3-新生児モニタ!$I$3)/新生児モニタ!$H$3),0)</f>
        <v>0</v>
      </c>
      <c r="AG272" s="306">
        <f t="shared" si="71"/>
        <v>0</v>
      </c>
    </row>
    <row r="273" spans="2:33">
      <c r="B273" s="283" t="s">
        <v>1086</v>
      </c>
      <c r="C273" s="305">
        <f>IFERROR(SUMIF(初度設備!$C$30:$C$74,B273,初度設備!$K$30:$K$74)*((初度設備!$H$3-初度設備!$I$3)/初度設備!$H$3),0)</f>
        <v>0</v>
      </c>
      <c r="D273" s="306">
        <f t="shared" si="56"/>
        <v>0</v>
      </c>
      <c r="E273" s="305">
        <f>IFERROR(SUMIF(人工呼吸器!$C$30:$C$74,B273,人工呼吸器!$K$30:$K$74)*((人工呼吸器!$H$3-人工呼吸器!$I$3)/人工呼吸器!$H$3),0)</f>
        <v>0</v>
      </c>
      <c r="F273" s="306">
        <f t="shared" si="57"/>
        <v>0</v>
      </c>
      <c r="G273" s="306">
        <f t="shared" si="58"/>
        <v>0</v>
      </c>
      <c r="H273" s="306">
        <f t="shared" si="59"/>
        <v>0</v>
      </c>
      <c r="I273" s="305">
        <f>IFERROR(SUMIF(簡易陰圧装置!$C$30:$C$74,B273,簡易陰圧装置!$K$30:$K$74)*((簡易陰圧装置!$H$3-簡易陰圧装置!$I$3)/簡易陰圧装置!$H$3),0)</f>
        <v>0</v>
      </c>
      <c r="J273" s="306">
        <f t="shared" si="60"/>
        <v>0</v>
      </c>
      <c r="K273" s="305">
        <f>IFERROR(SUMIF(簡易ベッド!$C$30:$C$74,B273,簡易ベッド!$K$30:$K$74)*((簡易ベッド!$H$3-簡易ベッド!$I$3)/簡易ベッド!$H$3),0)</f>
        <v>0</v>
      </c>
      <c r="L273" s="306">
        <f t="shared" si="61"/>
        <v>0</v>
      </c>
      <c r="M273" s="305">
        <f>IFERROR(SUMIF(体外式膜型人工肺!$C$30:$C$74,B273,体外式膜型人工肺!$K$30:$K$74)*((体外式膜型人工肺!$H$3-体外式膜型人工肺!$I$3)/体外式膜型人工肺!$H$3),0)</f>
        <v>0</v>
      </c>
      <c r="N273" s="306">
        <f t="shared" si="62"/>
        <v>0</v>
      </c>
      <c r="O273" s="306">
        <f t="shared" si="63"/>
        <v>0</v>
      </c>
      <c r="P273" s="306">
        <f t="shared" si="64"/>
        <v>0</v>
      </c>
      <c r="Q273" s="305">
        <f>IFERROR(SUMIF(紫外線照射装置!$C$30:$C$74,B273,紫外線照射装置!$K$30:$K$74)*((紫外線照射装置!$H$3-紫外線照射装置!$I$3)/紫外線照射装置!$H$3),0)</f>
        <v>0</v>
      </c>
      <c r="R273" s="306">
        <f t="shared" si="65"/>
        <v>0</v>
      </c>
      <c r="S273" s="419">
        <f t="shared" si="66"/>
        <v>0</v>
      </c>
      <c r="T273" s="305">
        <f>IFERROR(SUMIF(超音波画像診断装置!$C$30:$C$74,B273,超音波画像診断装置!$K$30:$K$74)*((超音波画像診断装置!$H$3-超音波画像診断装置!$I$3)/超音波画像診断装置!$H$3),0)</f>
        <v>0</v>
      </c>
      <c r="U273" s="306">
        <f t="shared" si="67"/>
        <v>0</v>
      </c>
      <c r="V273" s="305">
        <f>IFERROR(SUMIF(血液浄化装置!$C$30:$C$74,B273,血液浄化装置!$K$30:$K$74)*((血液浄化装置!$H$3-血液浄化装置!$I$3)/血液浄化装置!$H$3),0)</f>
        <v>0</v>
      </c>
      <c r="W273" s="306">
        <f t="shared" si="68"/>
        <v>0</v>
      </c>
      <c r="X273" s="305">
        <f>IFERROR(SUMIF(気管支鏡!$C$30:$C$74,B273,気管支鏡!$K$30:$K$74)*((気管支鏡!$H$3-気管支鏡!$I$3)/気管支鏡!$H$3),0)</f>
        <v>0</v>
      </c>
      <c r="Y273" s="306">
        <f t="shared" si="54"/>
        <v>0</v>
      </c>
      <c r="Z273" s="305">
        <f>IFERROR(SUMIF(CT撮影装置!$C$30:$C$74,B273,CT撮影装置!$K$30:$K$74)*((CT撮影装置!$H$3-CT撮影装置!$I$3)/CT撮影装置!$H$3),0)</f>
        <v>0</v>
      </c>
      <c r="AA273" s="306">
        <f t="shared" si="69"/>
        <v>0</v>
      </c>
      <c r="AB273" s="305">
        <f>IFERROR(SUMIF(生体情報モニタ!$C$30:$C$74,B273,生体情報モニタ!$K$30:$K$74)*((生体情報モニタ!$H$3-生体情報モニタ!$I$3)/生体情報モニタ!$H$3),0)</f>
        <v>0</v>
      </c>
      <c r="AC273" s="306">
        <f t="shared" si="55"/>
        <v>0</v>
      </c>
      <c r="AD273" s="305">
        <f>IFERROR(SUMIF(分娩監視装置!$C$30:$C$74,B273,分娩監視装置!$K$30:$K$74)*((分娩監視装置!$H$3-分娩監視装置!$I$3)/分娩監視装置!$H$3),0)</f>
        <v>0</v>
      </c>
      <c r="AE273" s="306">
        <f t="shared" si="70"/>
        <v>0</v>
      </c>
      <c r="AF273" s="305">
        <f>IFERROR(SUMIF(新生児モニタ!$C$30:$C$74,B273,新生児モニタ!$K$30:$K$74)*((新生児モニタ!$H$3-新生児モニタ!$I$3)/新生児モニタ!$H$3),0)</f>
        <v>0</v>
      </c>
      <c r="AG273" s="306">
        <f t="shared" si="71"/>
        <v>0</v>
      </c>
    </row>
    <row r="274" spans="2:33">
      <c r="B274" s="283" t="s">
        <v>1087</v>
      </c>
      <c r="C274" s="305">
        <f>IFERROR(SUMIF(初度設備!$C$30:$C$74,B274,初度設備!$K$30:$K$74)*((初度設備!$H$3-初度設備!$I$3)/初度設備!$H$3),0)</f>
        <v>0</v>
      </c>
      <c r="D274" s="306">
        <f t="shared" si="56"/>
        <v>0</v>
      </c>
      <c r="E274" s="305">
        <f>IFERROR(SUMIF(人工呼吸器!$C$30:$C$74,B274,人工呼吸器!$K$30:$K$74)*((人工呼吸器!$H$3-人工呼吸器!$I$3)/人工呼吸器!$H$3),0)</f>
        <v>0</v>
      </c>
      <c r="F274" s="306">
        <f t="shared" si="57"/>
        <v>0</v>
      </c>
      <c r="G274" s="306">
        <f t="shared" si="58"/>
        <v>0</v>
      </c>
      <c r="H274" s="306">
        <f t="shared" si="59"/>
        <v>0</v>
      </c>
      <c r="I274" s="305">
        <f>IFERROR(SUMIF(簡易陰圧装置!$C$30:$C$74,B274,簡易陰圧装置!$K$30:$K$74)*((簡易陰圧装置!$H$3-簡易陰圧装置!$I$3)/簡易陰圧装置!$H$3),0)</f>
        <v>0</v>
      </c>
      <c r="J274" s="306">
        <f t="shared" si="60"/>
        <v>0</v>
      </c>
      <c r="K274" s="305">
        <f>IFERROR(SUMIF(簡易ベッド!$C$30:$C$74,B274,簡易ベッド!$K$30:$K$74)*((簡易ベッド!$H$3-簡易ベッド!$I$3)/簡易ベッド!$H$3),0)</f>
        <v>0</v>
      </c>
      <c r="L274" s="306">
        <f t="shared" si="61"/>
        <v>0</v>
      </c>
      <c r="M274" s="305">
        <f>IFERROR(SUMIF(体外式膜型人工肺!$C$30:$C$74,B274,体外式膜型人工肺!$K$30:$K$74)*((体外式膜型人工肺!$H$3-体外式膜型人工肺!$I$3)/体外式膜型人工肺!$H$3),0)</f>
        <v>0</v>
      </c>
      <c r="N274" s="306">
        <f t="shared" si="62"/>
        <v>0</v>
      </c>
      <c r="O274" s="306">
        <f t="shared" si="63"/>
        <v>0</v>
      </c>
      <c r="P274" s="306">
        <f t="shared" si="64"/>
        <v>0</v>
      </c>
      <c r="Q274" s="305">
        <f>IFERROR(SUMIF(紫外線照射装置!$C$30:$C$74,B274,紫外線照射装置!$K$30:$K$74)*((紫外線照射装置!$H$3-紫外線照射装置!$I$3)/紫外線照射装置!$H$3),0)</f>
        <v>0</v>
      </c>
      <c r="R274" s="306">
        <f t="shared" si="65"/>
        <v>0</v>
      </c>
      <c r="S274" s="419">
        <f t="shared" si="66"/>
        <v>0</v>
      </c>
      <c r="T274" s="305">
        <f>IFERROR(SUMIF(超音波画像診断装置!$C$30:$C$74,B274,超音波画像診断装置!$K$30:$K$74)*((超音波画像診断装置!$H$3-超音波画像診断装置!$I$3)/超音波画像診断装置!$H$3),0)</f>
        <v>0</v>
      </c>
      <c r="U274" s="306">
        <f t="shared" si="67"/>
        <v>0</v>
      </c>
      <c r="V274" s="305">
        <f>IFERROR(SUMIF(血液浄化装置!$C$30:$C$74,B274,血液浄化装置!$K$30:$K$74)*((血液浄化装置!$H$3-血液浄化装置!$I$3)/血液浄化装置!$H$3),0)</f>
        <v>0</v>
      </c>
      <c r="W274" s="306">
        <f t="shared" si="68"/>
        <v>0</v>
      </c>
      <c r="X274" s="305">
        <f>IFERROR(SUMIF(気管支鏡!$C$30:$C$74,B274,気管支鏡!$K$30:$K$74)*((気管支鏡!$H$3-気管支鏡!$I$3)/気管支鏡!$H$3),0)</f>
        <v>0</v>
      </c>
      <c r="Y274" s="306">
        <f t="shared" si="54"/>
        <v>0</v>
      </c>
      <c r="Z274" s="305">
        <f>IFERROR(SUMIF(CT撮影装置!$C$30:$C$74,B274,CT撮影装置!$K$30:$K$74)*((CT撮影装置!$H$3-CT撮影装置!$I$3)/CT撮影装置!$H$3),0)</f>
        <v>0</v>
      </c>
      <c r="AA274" s="306">
        <f t="shared" si="69"/>
        <v>0</v>
      </c>
      <c r="AB274" s="305">
        <f>IFERROR(SUMIF(生体情報モニタ!$C$30:$C$74,B274,生体情報モニタ!$K$30:$K$74)*((生体情報モニタ!$H$3-生体情報モニタ!$I$3)/生体情報モニタ!$H$3),0)</f>
        <v>0</v>
      </c>
      <c r="AC274" s="306">
        <f t="shared" si="55"/>
        <v>0</v>
      </c>
      <c r="AD274" s="305">
        <f>IFERROR(SUMIF(分娩監視装置!$C$30:$C$74,B274,分娩監視装置!$K$30:$K$74)*((分娩監視装置!$H$3-分娩監視装置!$I$3)/分娩監視装置!$H$3),0)</f>
        <v>0</v>
      </c>
      <c r="AE274" s="306">
        <f t="shared" si="70"/>
        <v>0</v>
      </c>
      <c r="AF274" s="305">
        <f>IFERROR(SUMIF(新生児モニタ!$C$30:$C$74,B274,新生児モニタ!$K$30:$K$74)*((新生児モニタ!$H$3-新生児モニタ!$I$3)/新生児モニタ!$H$3),0)</f>
        <v>0</v>
      </c>
      <c r="AG274" s="306">
        <f t="shared" si="71"/>
        <v>0</v>
      </c>
    </row>
    <row r="275" spans="2:33">
      <c r="B275" s="283" t="s">
        <v>1088</v>
      </c>
      <c r="C275" s="305">
        <f>IFERROR(SUMIF(初度設備!$C$30:$C$74,B275,初度設備!$K$30:$K$74)*((初度設備!$H$3-初度設備!$I$3)/初度設備!$H$3),0)</f>
        <v>0</v>
      </c>
      <c r="D275" s="306">
        <f t="shared" si="56"/>
        <v>0</v>
      </c>
      <c r="E275" s="305">
        <f>IFERROR(SUMIF(人工呼吸器!$C$30:$C$74,B275,人工呼吸器!$K$30:$K$74)*((人工呼吸器!$H$3-人工呼吸器!$I$3)/人工呼吸器!$H$3),0)</f>
        <v>0</v>
      </c>
      <c r="F275" s="306">
        <f t="shared" si="57"/>
        <v>0</v>
      </c>
      <c r="G275" s="306">
        <f t="shared" si="58"/>
        <v>0</v>
      </c>
      <c r="H275" s="306">
        <f t="shared" si="59"/>
        <v>0</v>
      </c>
      <c r="I275" s="305">
        <f>IFERROR(SUMIF(簡易陰圧装置!$C$30:$C$74,B275,簡易陰圧装置!$K$30:$K$74)*((簡易陰圧装置!$H$3-簡易陰圧装置!$I$3)/簡易陰圧装置!$H$3),0)</f>
        <v>0</v>
      </c>
      <c r="J275" s="306">
        <f t="shared" si="60"/>
        <v>0</v>
      </c>
      <c r="K275" s="305">
        <f>IFERROR(SUMIF(簡易ベッド!$C$30:$C$74,B275,簡易ベッド!$K$30:$K$74)*((簡易ベッド!$H$3-簡易ベッド!$I$3)/簡易ベッド!$H$3),0)</f>
        <v>0</v>
      </c>
      <c r="L275" s="306">
        <f t="shared" si="61"/>
        <v>0</v>
      </c>
      <c r="M275" s="305">
        <f>IFERROR(SUMIF(体外式膜型人工肺!$C$30:$C$74,B275,体外式膜型人工肺!$K$30:$K$74)*((体外式膜型人工肺!$H$3-体外式膜型人工肺!$I$3)/体外式膜型人工肺!$H$3),0)</f>
        <v>0</v>
      </c>
      <c r="N275" s="306">
        <f t="shared" si="62"/>
        <v>0</v>
      </c>
      <c r="O275" s="306">
        <f t="shared" si="63"/>
        <v>0</v>
      </c>
      <c r="P275" s="306">
        <f t="shared" si="64"/>
        <v>0</v>
      </c>
      <c r="Q275" s="305">
        <f>IFERROR(SUMIF(紫外線照射装置!$C$30:$C$74,B275,紫外線照射装置!$K$30:$K$74)*((紫外線照射装置!$H$3-紫外線照射装置!$I$3)/紫外線照射装置!$H$3),0)</f>
        <v>0</v>
      </c>
      <c r="R275" s="306">
        <f t="shared" si="65"/>
        <v>0</v>
      </c>
      <c r="S275" s="419">
        <f t="shared" si="66"/>
        <v>0</v>
      </c>
      <c r="T275" s="305">
        <f>IFERROR(SUMIF(超音波画像診断装置!$C$30:$C$74,B275,超音波画像診断装置!$K$30:$K$74)*((超音波画像診断装置!$H$3-超音波画像診断装置!$I$3)/超音波画像診断装置!$H$3),0)</f>
        <v>0</v>
      </c>
      <c r="U275" s="306">
        <f t="shared" si="67"/>
        <v>0</v>
      </c>
      <c r="V275" s="305">
        <f>IFERROR(SUMIF(血液浄化装置!$C$30:$C$74,B275,血液浄化装置!$K$30:$K$74)*((血液浄化装置!$H$3-血液浄化装置!$I$3)/血液浄化装置!$H$3),0)</f>
        <v>0</v>
      </c>
      <c r="W275" s="306">
        <f t="shared" si="68"/>
        <v>0</v>
      </c>
      <c r="X275" s="305">
        <f>IFERROR(SUMIF(気管支鏡!$C$30:$C$74,B275,気管支鏡!$K$30:$K$74)*((気管支鏡!$H$3-気管支鏡!$I$3)/気管支鏡!$H$3),0)</f>
        <v>0</v>
      </c>
      <c r="Y275" s="306">
        <f t="shared" si="54"/>
        <v>0</v>
      </c>
      <c r="Z275" s="305">
        <f>IFERROR(SUMIF(CT撮影装置!$C$30:$C$74,B275,CT撮影装置!$K$30:$K$74)*((CT撮影装置!$H$3-CT撮影装置!$I$3)/CT撮影装置!$H$3),0)</f>
        <v>0</v>
      </c>
      <c r="AA275" s="306">
        <f t="shared" si="69"/>
        <v>0</v>
      </c>
      <c r="AB275" s="305">
        <f>IFERROR(SUMIF(生体情報モニタ!$C$30:$C$74,B275,生体情報モニタ!$K$30:$K$74)*((生体情報モニタ!$H$3-生体情報モニタ!$I$3)/生体情報モニタ!$H$3),0)</f>
        <v>0</v>
      </c>
      <c r="AC275" s="306">
        <f t="shared" si="55"/>
        <v>0</v>
      </c>
      <c r="AD275" s="305">
        <f>IFERROR(SUMIF(分娩監視装置!$C$30:$C$74,B275,分娩監視装置!$K$30:$K$74)*((分娩監視装置!$H$3-分娩監視装置!$I$3)/分娩監視装置!$H$3),0)</f>
        <v>0</v>
      </c>
      <c r="AE275" s="306">
        <f t="shared" si="70"/>
        <v>0</v>
      </c>
      <c r="AF275" s="305">
        <f>IFERROR(SUMIF(新生児モニタ!$C$30:$C$74,B275,新生児モニタ!$K$30:$K$74)*((新生児モニタ!$H$3-新生児モニタ!$I$3)/新生児モニタ!$H$3),0)</f>
        <v>0</v>
      </c>
      <c r="AG275" s="306">
        <f t="shared" si="71"/>
        <v>0</v>
      </c>
    </row>
    <row r="276" spans="2:33">
      <c r="B276" s="283" t="s">
        <v>1089</v>
      </c>
      <c r="C276" s="305">
        <f>IFERROR(SUMIF(初度設備!$C$30:$C$74,B276,初度設備!$K$30:$K$74)*((初度設備!$H$3-初度設備!$I$3)/初度設備!$H$3),0)</f>
        <v>0</v>
      </c>
      <c r="D276" s="306">
        <f t="shared" si="56"/>
        <v>0</v>
      </c>
      <c r="E276" s="305">
        <f>IFERROR(SUMIF(人工呼吸器!$C$30:$C$74,B276,人工呼吸器!$K$30:$K$74)*((人工呼吸器!$H$3-人工呼吸器!$I$3)/人工呼吸器!$H$3),0)</f>
        <v>0</v>
      </c>
      <c r="F276" s="306">
        <f t="shared" si="57"/>
        <v>0</v>
      </c>
      <c r="G276" s="306">
        <f t="shared" si="58"/>
        <v>0</v>
      </c>
      <c r="H276" s="306">
        <f t="shared" si="59"/>
        <v>0</v>
      </c>
      <c r="I276" s="305">
        <f>IFERROR(SUMIF(簡易陰圧装置!$C$30:$C$74,B276,簡易陰圧装置!$K$30:$K$74)*((簡易陰圧装置!$H$3-簡易陰圧装置!$I$3)/簡易陰圧装置!$H$3),0)</f>
        <v>0</v>
      </c>
      <c r="J276" s="306">
        <f t="shared" si="60"/>
        <v>0</v>
      </c>
      <c r="K276" s="305">
        <f>IFERROR(SUMIF(簡易ベッド!$C$30:$C$74,B276,簡易ベッド!$K$30:$K$74)*((簡易ベッド!$H$3-簡易ベッド!$I$3)/簡易ベッド!$H$3),0)</f>
        <v>0</v>
      </c>
      <c r="L276" s="306">
        <f t="shared" si="61"/>
        <v>0</v>
      </c>
      <c r="M276" s="305">
        <f>IFERROR(SUMIF(体外式膜型人工肺!$C$30:$C$74,B276,体外式膜型人工肺!$K$30:$K$74)*((体外式膜型人工肺!$H$3-体外式膜型人工肺!$I$3)/体外式膜型人工肺!$H$3),0)</f>
        <v>0</v>
      </c>
      <c r="N276" s="306">
        <f t="shared" si="62"/>
        <v>0</v>
      </c>
      <c r="O276" s="306">
        <f t="shared" si="63"/>
        <v>0</v>
      </c>
      <c r="P276" s="306">
        <f t="shared" si="64"/>
        <v>0</v>
      </c>
      <c r="Q276" s="305">
        <f>IFERROR(SUMIF(紫外線照射装置!$C$30:$C$74,B276,紫外線照射装置!$K$30:$K$74)*((紫外線照射装置!$H$3-紫外線照射装置!$I$3)/紫外線照射装置!$H$3),0)</f>
        <v>0</v>
      </c>
      <c r="R276" s="306">
        <f t="shared" si="65"/>
        <v>0</v>
      </c>
      <c r="S276" s="419">
        <f t="shared" si="66"/>
        <v>0</v>
      </c>
      <c r="T276" s="305">
        <f>IFERROR(SUMIF(超音波画像診断装置!$C$30:$C$74,B276,超音波画像診断装置!$K$30:$K$74)*((超音波画像診断装置!$H$3-超音波画像診断装置!$I$3)/超音波画像診断装置!$H$3),0)</f>
        <v>0</v>
      </c>
      <c r="U276" s="306">
        <f t="shared" si="67"/>
        <v>0</v>
      </c>
      <c r="V276" s="305">
        <f>IFERROR(SUMIF(血液浄化装置!$C$30:$C$74,B276,血液浄化装置!$K$30:$K$74)*((血液浄化装置!$H$3-血液浄化装置!$I$3)/血液浄化装置!$H$3),0)</f>
        <v>0</v>
      </c>
      <c r="W276" s="306">
        <f t="shared" si="68"/>
        <v>0</v>
      </c>
      <c r="X276" s="305">
        <f>IFERROR(SUMIF(気管支鏡!$C$30:$C$74,B276,気管支鏡!$K$30:$K$74)*((気管支鏡!$H$3-気管支鏡!$I$3)/気管支鏡!$H$3),0)</f>
        <v>0</v>
      </c>
      <c r="Y276" s="306">
        <f t="shared" si="54"/>
        <v>0</v>
      </c>
      <c r="Z276" s="305">
        <f>IFERROR(SUMIF(CT撮影装置!$C$30:$C$74,B276,CT撮影装置!$K$30:$K$74)*((CT撮影装置!$H$3-CT撮影装置!$I$3)/CT撮影装置!$H$3),0)</f>
        <v>0</v>
      </c>
      <c r="AA276" s="306">
        <f t="shared" si="69"/>
        <v>0</v>
      </c>
      <c r="AB276" s="305">
        <f>IFERROR(SUMIF(生体情報モニタ!$C$30:$C$74,B276,生体情報モニタ!$K$30:$K$74)*((生体情報モニタ!$H$3-生体情報モニタ!$I$3)/生体情報モニタ!$H$3),0)</f>
        <v>0</v>
      </c>
      <c r="AC276" s="306">
        <f t="shared" si="55"/>
        <v>0</v>
      </c>
      <c r="AD276" s="305">
        <f>IFERROR(SUMIF(分娩監視装置!$C$30:$C$74,B276,分娩監視装置!$K$30:$K$74)*((分娩監視装置!$H$3-分娩監視装置!$I$3)/分娩監視装置!$H$3),0)</f>
        <v>0</v>
      </c>
      <c r="AE276" s="306">
        <f t="shared" si="70"/>
        <v>0</v>
      </c>
      <c r="AF276" s="305">
        <f>IFERROR(SUMIF(新生児モニタ!$C$30:$C$74,B276,新生児モニタ!$K$30:$K$74)*((新生児モニタ!$H$3-新生児モニタ!$I$3)/新生児モニタ!$H$3),0)</f>
        <v>0</v>
      </c>
      <c r="AG276" s="306">
        <f t="shared" si="71"/>
        <v>0</v>
      </c>
    </row>
    <row r="277" spans="2:33">
      <c r="B277" s="283" t="s">
        <v>1090</v>
      </c>
      <c r="C277" s="305">
        <f>IFERROR(SUMIF(初度設備!$C$30:$C$74,B277,初度設備!$K$30:$K$74)*((初度設備!$H$3-初度設備!$I$3)/初度設備!$H$3),0)</f>
        <v>0</v>
      </c>
      <c r="D277" s="306">
        <f t="shared" si="56"/>
        <v>0</v>
      </c>
      <c r="E277" s="305">
        <f>IFERROR(SUMIF(人工呼吸器!$C$30:$C$74,B277,人工呼吸器!$K$30:$K$74)*((人工呼吸器!$H$3-人工呼吸器!$I$3)/人工呼吸器!$H$3),0)</f>
        <v>0</v>
      </c>
      <c r="F277" s="306">
        <f t="shared" si="57"/>
        <v>0</v>
      </c>
      <c r="G277" s="306">
        <f t="shared" si="58"/>
        <v>0</v>
      </c>
      <c r="H277" s="306">
        <f t="shared" si="59"/>
        <v>0</v>
      </c>
      <c r="I277" s="305">
        <f>IFERROR(SUMIF(簡易陰圧装置!$C$30:$C$74,B277,簡易陰圧装置!$K$30:$K$74)*((簡易陰圧装置!$H$3-簡易陰圧装置!$I$3)/簡易陰圧装置!$H$3),0)</f>
        <v>0</v>
      </c>
      <c r="J277" s="306">
        <f t="shared" si="60"/>
        <v>0</v>
      </c>
      <c r="K277" s="305">
        <f>IFERROR(SUMIF(簡易ベッド!$C$30:$C$74,B277,簡易ベッド!$K$30:$K$74)*((簡易ベッド!$H$3-簡易ベッド!$I$3)/簡易ベッド!$H$3),0)</f>
        <v>0</v>
      </c>
      <c r="L277" s="306">
        <f t="shared" si="61"/>
        <v>0</v>
      </c>
      <c r="M277" s="305">
        <f>IFERROR(SUMIF(体外式膜型人工肺!$C$30:$C$74,B277,体外式膜型人工肺!$K$30:$K$74)*((体外式膜型人工肺!$H$3-体外式膜型人工肺!$I$3)/体外式膜型人工肺!$H$3),0)</f>
        <v>0</v>
      </c>
      <c r="N277" s="306">
        <f t="shared" si="62"/>
        <v>0</v>
      </c>
      <c r="O277" s="306">
        <f t="shared" si="63"/>
        <v>0</v>
      </c>
      <c r="P277" s="306">
        <f t="shared" si="64"/>
        <v>0</v>
      </c>
      <c r="Q277" s="305">
        <f>IFERROR(SUMIF(紫外線照射装置!$C$30:$C$74,B277,紫外線照射装置!$K$30:$K$74)*((紫外線照射装置!$H$3-紫外線照射装置!$I$3)/紫外線照射装置!$H$3),0)</f>
        <v>0</v>
      </c>
      <c r="R277" s="306">
        <f t="shared" si="65"/>
        <v>0</v>
      </c>
      <c r="S277" s="419">
        <f t="shared" si="66"/>
        <v>0</v>
      </c>
      <c r="T277" s="305">
        <f>IFERROR(SUMIF(超音波画像診断装置!$C$30:$C$74,B277,超音波画像診断装置!$K$30:$K$74)*((超音波画像診断装置!$H$3-超音波画像診断装置!$I$3)/超音波画像診断装置!$H$3),0)</f>
        <v>0</v>
      </c>
      <c r="U277" s="306">
        <f t="shared" si="67"/>
        <v>0</v>
      </c>
      <c r="V277" s="305">
        <f>IFERROR(SUMIF(血液浄化装置!$C$30:$C$74,B277,血液浄化装置!$K$30:$K$74)*((血液浄化装置!$H$3-血液浄化装置!$I$3)/血液浄化装置!$H$3),0)</f>
        <v>0</v>
      </c>
      <c r="W277" s="306">
        <f t="shared" si="68"/>
        <v>0</v>
      </c>
      <c r="X277" s="305">
        <f>IFERROR(SUMIF(気管支鏡!$C$30:$C$74,B277,気管支鏡!$K$30:$K$74)*((気管支鏡!$H$3-気管支鏡!$I$3)/気管支鏡!$H$3),0)</f>
        <v>0</v>
      </c>
      <c r="Y277" s="306">
        <f t="shared" si="54"/>
        <v>0</v>
      </c>
      <c r="Z277" s="305">
        <f>IFERROR(SUMIF(CT撮影装置!$C$30:$C$74,B277,CT撮影装置!$K$30:$K$74)*((CT撮影装置!$H$3-CT撮影装置!$I$3)/CT撮影装置!$H$3),0)</f>
        <v>0</v>
      </c>
      <c r="AA277" s="306">
        <f t="shared" si="69"/>
        <v>0</v>
      </c>
      <c r="AB277" s="305">
        <f>IFERROR(SUMIF(生体情報モニタ!$C$30:$C$74,B277,生体情報モニタ!$K$30:$K$74)*((生体情報モニタ!$H$3-生体情報モニタ!$I$3)/生体情報モニタ!$H$3),0)</f>
        <v>0</v>
      </c>
      <c r="AC277" s="306">
        <f t="shared" si="55"/>
        <v>0</v>
      </c>
      <c r="AD277" s="305">
        <f>IFERROR(SUMIF(分娩監視装置!$C$30:$C$74,B277,分娩監視装置!$K$30:$K$74)*((分娩監視装置!$H$3-分娩監視装置!$I$3)/分娩監視装置!$H$3),0)</f>
        <v>0</v>
      </c>
      <c r="AE277" s="306">
        <f t="shared" si="70"/>
        <v>0</v>
      </c>
      <c r="AF277" s="305">
        <f>IFERROR(SUMIF(新生児モニタ!$C$30:$C$74,B277,新生児モニタ!$K$30:$K$74)*((新生児モニタ!$H$3-新生児モニタ!$I$3)/新生児モニタ!$H$3),0)</f>
        <v>0</v>
      </c>
      <c r="AG277" s="306">
        <f t="shared" si="71"/>
        <v>0</v>
      </c>
    </row>
    <row r="278" spans="2:33">
      <c r="B278" s="283" t="s">
        <v>1091</v>
      </c>
      <c r="C278" s="305">
        <f>IFERROR(SUMIF(初度設備!$C$30:$C$74,B278,初度設備!$K$30:$K$74)*((初度設備!$H$3-初度設備!$I$3)/初度設備!$H$3),0)</f>
        <v>0</v>
      </c>
      <c r="D278" s="306">
        <f t="shared" si="56"/>
        <v>0</v>
      </c>
      <c r="E278" s="305">
        <f>IFERROR(SUMIF(人工呼吸器!$C$30:$C$74,B278,人工呼吸器!$K$30:$K$74)*((人工呼吸器!$H$3-人工呼吸器!$I$3)/人工呼吸器!$H$3),0)</f>
        <v>0</v>
      </c>
      <c r="F278" s="306">
        <f t="shared" si="57"/>
        <v>0</v>
      </c>
      <c r="G278" s="306">
        <f t="shared" si="58"/>
        <v>0</v>
      </c>
      <c r="H278" s="306">
        <f t="shared" si="59"/>
        <v>0</v>
      </c>
      <c r="I278" s="305">
        <f>IFERROR(SUMIF(簡易陰圧装置!$C$30:$C$74,B278,簡易陰圧装置!$K$30:$K$74)*((簡易陰圧装置!$H$3-簡易陰圧装置!$I$3)/簡易陰圧装置!$H$3),0)</f>
        <v>0</v>
      </c>
      <c r="J278" s="306">
        <f t="shared" si="60"/>
        <v>0</v>
      </c>
      <c r="K278" s="305">
        <f>IFERROR(SUMIF(簡易ベッド!$C$30:$C$74,B278,簡易ベッド!$K$30:$K$74)*((簡易ベッド!$H$3-簡易ベッド!$I$3)/簡易ベッド!$H$3),0)</f>
        <v>0</v>
      </c>
      <c r="L278" s="306">
        <f t="shared" si="61"/>
        <v>0</v>
      </c>
      <c r="M278" s="305">
        <f>IFERROR(SUMIF(体外式膜型人工肺!$C$30:$C$74,B278,体外式膜型人工肺!$K$30:$K$74)*((体外式膜型人工肺!$H$3-体外式膜型人工肺!$I$3)/体外式膜型人工肺!$H$3),0)</f>
        <v>0</v>
      </c>
      <c r="N278" s="306">
        <f t="shared" si="62"/>
        <v>0</v>
      </c>
      <c r="O278" s="306">
        <f t="shared" si="63"/>
        <v>0</v>
      </c>
      <c r="P278" s="306">
        <f t="shared" si="64"/>
        <v>0</v>
      </c>
      <c r="Q278" s="305">
        <f>IFERROR(SUMIF(紫外線照射装置!$C$30:$C$74,B278,紫外線照射装置!$K$30:$K$74)*((紫外線照射装置!$H$3-紫外線照射装置!$I$3)/紫外線照射装置!$H$3),0)</f>
        <v>0</v>
      </c>
      <c r="R278" s="306">
        <f t="shared" si="65"/>
        <v>0</v>
      </c>
      <c r="S278" s="419">
        <f t="shared" si="66"/>
        <v>0</v>
      </c>
      <c r="T278" s="305">
        <f>IFERROR(SUMIF(超音波画像診断装置!$C$30:$C$74,B278,超音波画像診断装置!$K$30:$K$74)*((超音波画像診断装置!$H$3-超音波画像診断装置!$I$3)/超音波画像診断装置!$H$3),0)</f>
        <v>0</v>
      </c>
      <c r="U278" s="306">
        <f t="shared" si="67"/>
        <v>0</v>
      </c>
      <c r="V278" s="305">
        <f>IFERROR(SUMIF(血液浄化装置!$C$30:$C$74,B278,血液浄化装置!$K$30:$K$74)*((血液浄化装置!$H$3-血液浄化装置!$I$3)/血液浄化装置!$H$3),0)</f>
        <v>0</v>
      </c>
      <c r="W278" s="306">
        <f t="shared" si="68"/>
        <v>0</v>
      </c>
      <c r="X278" s="305">
        <f>IFERROR(SUMIF(気管支鏡!$C$30:$C$74,B278,気管支鏡!$K$30:$K$74)*((気管支鏡!$H$3-気管支鏡!$I$3)/気管支鏡!$H$3),0)</f>
        <v>0</v>
      </c>
      <c r="Y278" s="306">
        <f t="shared" si="54"/>
        <v>0</v>
      </c>
      <c r="Z278" s="305">
        <f>IFERROR(SUMIF(CT撮影装置!$C$30:$C$74,B278,CT撮影装置!$K$30:$K$74)*((CT撮影装置!$H$3-CT撮影装置!$I$3)/CT撮影装置!$H$3),0)</f>
        <v>0</v>
      </c>
      <c r="AA278" s="306">
        <f t="shared" si="69"/>
        <v>0</v>
      </c>
      <c r="AB278" s="305">
        <f>IFERROR(SUMIF(生体情報モニタ!$C$30:$C$74,B278,生体情報モニタ!$K$30:$K$74)*((生体情報モニタ!$H$3-生体情報モニタ!$I$3)/生体情報モニタ!$H$3),0)</f>
        <v>0</v>
      </c>
      <c r="AC278" s="306">
        <f t="shared" si="55"/>
        <v>0</v>
      </c>
      <c r="AD278" s="305">
        <f>IFERROR(SUMIF(分娩監視装置!$C$30:$C$74,B278,分娩監視装置!$K$30:$K$74)*((分娩監視装置!$H$3-分娩監視装置!$I$3)/分娩監視装置!$H$3),0)</f>
        <v>0</v>
      </c>
      <c r="AE278" s="306">
        <f t="shared" si="70"/>
        <v>0</v>
      </c>
      <c r="AF278" s="305">
        <f>IFERROR(SUMIF(新生児モニタ!$C$30:$C$74,B278,新生児モニタ!$K$30:$K$74)*((新生児モニタ!$H$3-新生児モニタ!$I$3)/新生児モニタ!$H$3),0)</f>
        <v>0</v>
      </c>
      <c r="AG278" s="306">
        <f t="shared" si="71"/>
        <v>0</v>
      </c>
    </row>
    <row r="279" spans="2:33">
      <c r="B279" s="283" t="s">
        <v>1092</v>
      </c>
      <c r="C279" s="305">
        <f>IFERROR(SUMIF(初度設備!$C$30:$C$74,B279,初度設備!$K$30:$K$74)*((初度設備!$H$3-初度設備!$I$3)/初度設備!$H$3),0)</f>
        <v>0</v>
      </c>
      <c r="D279" s="306">
        <f t="shared" si="56"/>
        <v>0</v>
      </c>
      <c r="E279" s="305">
        <f>IFERROR(SUMIF(人工呼吸器!$C$30:$C$74,B279,人工呼吸器!$K$30:$K$74)*((人工呼吸器!$H$3-人工呼吸器!$I$3)/人工呼吸器!$H$3),0)</f>
        <v>0</v>
      </c>
      <c r="F279" s="306">
        <f t="shared" si="57"/>
        <v>0</v>
      </c>
      <c r="G279" s="306">
        <f t="shared" si="58"/>
        <v>0</v>
      </c>
      <c r="H279" s="306">
        <f t="shared" si="59"/>
        <v>0</v>
      </c>
      <c r="I279" s="305">
        <f>IFERROR(SUMIF(簡易陰圧装置!$C$30:$C$74,B279,簡易陰圧装置!$K$30:$K$74)*((簡易陰圧装置!$H$3-簡易陰圧装置!$I$3)/簡易陰圧装置!$H$3),0)</f>
        <v>0</v>
      </c>
      <c r="J279" s="306">
        <f t="shared" si="60"/>
        <v>0</v>
      </c>
      <c r="K279" s="305">
        <f>IFERROR(SUMIF(簡易ベッド!$C$30:$C$74,B279,簡易ベッド!$K$30:$K$74)*((簡易ベッド!$H$3-簡易ベッド!$I$3)/簡易ベッド!$H$3),0)</f>
        <v>0</v>
      </c>
      <c r="L279" s="306">
        <f t="shared" si="61"/>
        <v>0</v>
      </c>
      <c r="M279" s="305">
        <f>IFERROR(SUMIF(体外式膜型人工肺!$C$30:$C$74,B279,体外式膜型人工肺!$K$30:$K$74)*((体外式膜型人工肺!$H$3-体外式膜型人工肺!$I$3)/体外式膜型人工肺!$H$3),0)</f>
        <v>0</v>
      </c>
      <c r="N279" s="306">
        <f t="shared" si="62"/>
        <v>0</v>
      </c>
      <c r="O279" s="306">
        <f t="shared" si="63"/>
        <v>0</v>
      </c>
      <c r="P279" s="306">
        <f t="shared" si="64"/>
        <v>0</v>
      </c>
      <c r="Q279" s="305">
        <f>IFERROR(SUMIF(紫外線照射装置!$C$30:$C$74,B279,紫外線照射装置!$K$30:$K$74)*((紫外線照射装置!$H$3-紫外線照射装置!$I$3)/紫外線照射装置!$H$3),0)</f>
        <v>0</v>
      </c>
      <c r="R279" s="306">
        <f t="shared" si="65"/>
        <v>0</v>
      </c>
      <c r="S279" s="419">
        <f t="shared" si="66"/>
        <v>0</v>
      </c>
      <c r="T279" s="305">
        <f>IFERROR(SUMIF(超音波画像診断装置!$C$30:$C$74,B279,超音波画像診断装置!$K$30:$K$74)*((超音波画像診断装置!$H$3-超音波画像診断装置!$I$3)/超音波画像診断装置!$H$3),0)</f>
        <v>0</v>
      </c>
      <c r="U279" s="306">
        <f t="shared" si="67"/>
        <v>0</v>
      </c>
      <c r="V279" s="305">
        <f>IFERROR(SUMIF(血液浄化装置!$C$30:$C$74,B279,血液浄化装置!$K$30:$K$74)*((血液浄化装置!$H$3-血液浄化装置!$I$3)/血液浄化装置!$H$3),0)</f>
        <v>0</v>
      </c>
      <c r="W279" s="306">
        <f t="shared" si="68"/>
        <v>0</v>
      </c>
      <c r="X279" s="305">
        <f>IFERROR(SUMIF(気管支鏡!$C$30:$C$74,B279,気管支鏡!$K$30:$K$74)*((気管支鏡!$H$3-気管支鏡!$I$3)/気管支鏡!$H$3),0)</f>
        <v>0</v>
      </c>
      <c r="Y279" s="306">
        <f t="shared" ref="Y279:Y322" si="72">ROUNDDOWN(MIN(X279,$Y$21),-3)</f>
        <v>0</v>
      </c>
      <c r="Z279" s="305">
        <f>IFERROR(SUMIF(CT撮影装置!$C$30:$C$74,B279,CT撮影装置!$K$30:$K$74)*((CT撮影装置!$H$3-CT撮影装置!$I$3)/CT撮影装置!$H$3),0)</f>
        <v>0</v>
      </c>
      <c r="AA279" s="306">
        <f t="shared" si="69"/>
        <v>0</v>
      </c>
      <c r="AB279" s="305">
        <f>IFERROR(SUMIF(生体情報モニタ!$C$30:$C$74,B279,生体情報モニタ!$K$30:$K$74)*((生体情報モニタ!$H$3-生体情報モニタ!$I$3)/生体情報モニタ!$H$3),0)</f>
        <v>0</v>
      </c>
      <c r="AC279" s="306">
        <f t="shared" ref="AC279:AC322" si="73">ROUNDDOWN(MIN(AB279,$AC$21),-3)</f>
        <v>0</v>
      </c>
      <c r="AD279" s="305">
        <f>IFERROR(SUMIF(分娩監視装置!$C$30:$C$74,B279,分娩監視装置!$K$30:$K$74)*((分娩監視装置!$H$3-分娩監視装置!$I$3)/分娩監視装置!$H$3),0)</f>
        <v>0</v>
      </c>
      <c r="AE279" s="306">
        <f t="shared" si="70"/>
        <v>0</v>
      </c>
      <c r="AF279" s="305">
        <f>IFERROR(SUMIF(新生児モニタ!$C$30:$C$74,B279,新生児モニタ!$K$30:$K$74)*((新生児モニタ!$H$3-新生児モニタ!$I$3)/新生児モニタ!$H$3),0)</f>
        <v>0</v>
      </c>
      <c r="AG279" s="306">
        <f t="shared" si="71"/>
        <v>0</v>
      </c>
    </row>
    <row r="280" spans="2:33">
      <c r="B280" s="283" t="s">
        <v>1093</v>
      </c>
      <c r="C280" s="305">
        <f>IFERROR(SUMIF(初度設備!$C$30:$C$74,B280,初度設備!$K$30:$K$74)*((初度設備!$H$3-初度設備!$I$3)/初度設備!$H$3),0)</f>
        <v>0</v>
      </c>
      <c r="D280" s="306">
        <f t="shared" ref="D280:D322" si="74">ROUNDDOWN(MIN(C280,$D$21),-3)</f>
        <v>0</v>
      </c>
      <c r="E280" s="305">
        <f>IFERROR(SUMIF(人工呼吸器!$C$30:$C$74,B280,人工呼吸器!$K$30:$K$74)*((人工呼吸器!$H$3-人工呼吸器!$I$3)/人工呼吸器!$H$3),0)</f>
        <v>0</v>
      </c>
      <c r="F280" s="306">
        <f t="shared" ref="F280:F322" si="75">ROUNDDOWN(E280,-3)</f>
        <v>0</v>
      </c>
      <c r="G280" s="306">
        <f t="shared" ref="G280:G322" si="76">IF(F280&gt;=5000000,5000000,F280)</f>
        <v>0</v>
      </c>
      <c r="H280" s="306">
        <f t="shared" ref="H280:H322" si="77">IF(G280=5000000,F280-5000000,0)</f>
        <v>0</v>
      </c>
      <c r="I280" s="305">
        <f>IFERROR(SUMIF(簡易陰圧装置!$C$30:$C$74,B280,簡易陰圧装置!$K$30:$K$74)*((簡易陰圧装置!$H$3-簡易陰圧装置!$I$3)/簡易陰圧装置!$H$3),0)</f>
        <v>0</v>
      </c>
      <c r="J280" s="306">
        <f t="shared" ref="J280:J322" si="78">ROUNDDOWN(MIN(I280,$J$21),-3)</f>
        <v>0</v>
      </c>
      <c r="K280" s="305">
        <f>IFERROR(SUMIF(簡易ベッド!$C$30:$C$74,B280,簡易ベッド!$K$30:$K$74)*((簡易ベッド!$H$3-簡易ベッド!$I$3)/簡易ベッド!$H$3),0)</f>
        <v>0</v>
      </c>
      <c r="L280" s="306">
        <f t="shared" ref="L280:L322" si="79">ROUNDDOWN(MIN(K280,$L$21),-3)</f>
        <v>0</v>
      </c>
      <c r="M280" s="305">
        <f>IFERROR(SUMIF(体外式膜型人工肺!$C$30:$C$74,B280,体外式膜型人工肺!$K$30:$K$74)*((体外式膜型人工肺!$H$3-体外式膜型人工肺!$I$3)/体外式膜型人工肺!$H$3),0)</f>
        <v>0</v>
      </c>
      <c r="N280" s="306">
        <f t="shared" ref="N280:N322" si="80">ROUNDDOWN(M280,-3)</f>
        <v>0</v>
      </c>
      <c r="O280" s="306">
        <f t="shared" ref="O280:O322" si="81">IF(N280&gt;=21000000,21000000,N280)</f>
        <v>0</v>
      </c>
      <c r="P280" s="306">
        <f t="shared" ref="P280:P322" si="82">IF(O280=21000000,N280-21000000,0)</f>
        <v>0</v>
      </c>
      <c r="Q280" s="305">
        <f>IFERROR(SUMIF(紫外線照射装置!$C$30:$C$74,B280,紫外線照射装置!$K$30:$K$74)*((紫外線照射装置!$H$3-紫外線照射装置!$I$3)/紫外線照射装置!$H$3),0)</f>
        <v>0</v>
      </c>
      <c r="R280" s="306">
        <f t="shared" ref="R280:R322" si="83">IFERROR(ROUNDDOWN(MIN(Q280,$R$21)/2,-3),0)</f>
        <v>0</v>
      </c>
      <c r="S280" s="419">
        <f t="shared" ref="S280:S322" si="84">R280</f>
        <v>0</v>
      </c>
      <c r="T280" s="305">
        <f>IFERROR(SUMIF(超音波画像診断装置!$C$30:$C$74,B280,超音波画像診断装置!$K$30:$K$74)*((超音波画像診断装置!$H$3-超音波画像診断装置!$I$3)/超音波画像診断装置!$H$3),0)</f>
        <v>0</v>
      </c>
      <c r="U280" s="306">
        <f t="shared" ref="U280:U322" si="85">ROUNDDOWN(MIN(T280,$U$21),-3)</f>
        <v>0</v>
      </c>
      <c r="V280" s="305">
        <f>IFERROR(SUMIF(血液浄化装置!$C$30:$C$74,B280,血液浄化装置!$K$30:$K$74)*((血液浄化装置!$H$3-血液浄化装置!$I$3)/血液浄化装置!$H$3),0)</f>
        <v>0</v>
      </c>
      <c r="W280" s="306">
        <f t="shared" ref="W280:W322" si="86">ROUNDDOWN(MIN(V280,$W$21),-3)</f>
        <v>0</v>
      </c>
      <c r="X280" s="305">
        <f>IFERROR(SUMIF(気管支鏡!$C$30:$C$74,B280,気管支鏡!$K$30:$K$74)*((気管支鏡!$H$3-気管支鏡!$I$3)/気管支鏡!$H$3),0)</f>
        <v>0</v>
      </c>
      <c r="Y280" s="306">
        <f t="shared" si="72"/>
        <v>0</v>
      </c>
      <c r="Z280" s="305">
        <f>IFERROR(SUMIF(CT撮影装置!$C$30:$C$74,B280,CT撮影装置!$K$30:$K$74)*((CT撮影装置!$H$3-CT撮影装置!$I$3)/CT撮影装置!$H$3),0)</f>
        <v>0</v>
      </c>
      <c r="AA280" s="306">
        <f t="shared" ref="AA280:AA322" si="87">ROUNDDOWN(MIN(Z280,$AA$21),-3)</f>
        <v>0</v>
      </c>
      <c r="AB280" s="305">
        <f>IFERROR(SUMIF(生体情報モニタ!$C$30:$C$74,B280,生体情報モニタ!$K$30:$K$74)*((生体情報モニタ!$H$3-生体情報モニタ!$I$3)/生体情報モニタ!$H$3),0)</f>
        <v>0</v>
      </c>
      <c r="AC280" s="306">
        <f t="shared" si="73"/>
        <v>0</v>
      </c>
      <c r="AD280" s="305">
        <f>IFERROR(SUMIF(分娩監視装置!$C$30:$C$74,B280,分娩監視装置!$K$30:$K$74)*((分娩監視装置!$H$3-分娩監視装置!$I$3)/分娩監視装置!$H$3),0)</f>
        <v>0</v>
      </c>
      <c r="AE280" s="306">
        <f t="shared" ref="AE280:AE322" si="88">ROUNDDOWN(MIN(AD280,$AE$21),-3)</f>
        <v>0</v>
      </c>
      <c r="AF280" s="305">
        <f>IFERROR(SUMIF(新生児モニタ!$C$30:$C$74,B280,新生児モニタ!$K$30:$K$74)*((新生児モニタ!$H$3-新生児モニタ!$I$3)/新生児モニタ!$H$3),0)</f>
        <v>0</v>
      </c>
      <c r="AG280" s="306">
        <f t="shared" ref="AG280:AG322" si="89">ROUNDDOWN(MIN(AF280,$AG$21),-3)</f>
        <v>0</v>
      </c>
    </row>
    <row r="281" spans="2:33">
      <c r="B281" s="283" t="s">
        <v>1094</v>
      </c>
      <c r="C281" s="305">
        <f>IFERROR(SUMIF(初度設備!$C$30:$C$74,B281,初度設備!$K$30:$K$74)*((初度設備!$H$3-初度設備!$I$3)/初度設備!$H$3),0)</f>
        <v>0</v>
      </c>
      <c r="D281" s="306">
        <f t="shared" si="74"/>
        <v>0</v>
      </c>
      <c r="E281" s="305">
        <f>IFERROR(SUMIF(人工呼吸器!$C$30:$C$74,B281,人工呼吸器!$K$30:$K$74)*((人工呼吸器!$H$3-人工呼吸器!$I$3)/人工呼吸器!$H$3),0)</f>
        <v>0</v>
      </c>
      <c r="F281" s="306">
        <f t="shared" si="75"/>
        <v>0</v>
      </c>
      <c r="G281" s="306">
        <f t="shared" si="76"/>
        <v>0</v>
      </c>
      <c r="H281" s="306">
        <f t="shared" si="77"/>
        <v>0</v>
      </c>
      <c r="I281" s="305">
        <f>IFERROR(SUMIF(簡易陰圧装置!$C$30:$C$74,B281,簡易陰圧装置!$K$30:$K$74)*((簡易陰圧装置!$H$3-簡易陰圧装置!$I$3)/簡易陰圧装置!$H$3),0)</f>
        <v>0</v>
      </c>
      <c r="J281" s="306">
        <f t="shared" si="78"/>
        <v>0</v>
      </c>
      <c r="K281" s="305">
        <f>IFERROR(SUMIF(簡易ベッド!$C$30:$C$74,B281,簡易ベッド!$K$30:$K$74)*((簡易ベッド!$H$3-簡易ベッド!$I$3)/簡易ベッド!$H$3),0)</f>
        <v>0</v>
      </c>
      <c r="L281" s="306">
        <f t="shared" si="79"/>
        <v>0</v>
      </c>
      <c r="M281" s="305">
        <f>IFERROR(SUMIF(体外式膜型人工肺!$C$30:$C$74,B281,体外式膜型人工肺!$K$30:$K$74)*((体外式膜型人工肺!$H$3-体外式膜型人工肺!$I$3)/体外式膜型人工肺!$H$3),0)</f>
        <v>0</v>
      </c>
      <c r="N281" s="306">
        <f t="shared" si="80"/>
        <v>0</v>
      </c>
      <c r="O281" s="306">
        <f t="shared" si="81"/>
        <v>0</v>
      </c>
      <c r="P281" s="306">
        <f t="shared" si="82"/>
        <v>0</v>
      </c>
      <c r="Q281" s="305">
        <f>IFERROR(SUMIF(紫外線照射装置!$C$30:$C$74,B281,紫外線照射装置!$K$30:$K$74)*((紫外線照射装置!$H$3-紫外線照射装置!$I$3)/紫外線照射装置!$H$3),0)</f>
        <v>0</v>
      </c>
      <c r="R281" s="306">
        <f t="shared" si="83"/>
        <v>0</v>
      </c>
      <c r="S281" s="419">
        <f t="shared" si="84"/>
        <v>0</v>
      </c>
      <c r="T281" s="305">
        <f>IFERROR(SUMIF(超音波画像診断装置!$C$30:$C$74,B281,超音波画像診断装置!$K$30:$K$74)*((超音波画像診断装置!$H$3-超音波画像診断装置!$I$3)/超音波画像診断装置!$H$3),0)</f>
        <v>0</v>
      </c>
      <c r="U281" s="306">
        <f t="shared" si="85"/>
        <v>0</v>
      </c>
      <c r="V281" s="305">
        <f>IFERROR(SUMIF(血液浄化装置!$C$30:$C$74,B281,血液浄化装置!$K$30:$K$74)*((血液浄化装置!$H$3-血液浄化装置!$I$3)/血液浄化装置!$H$3),0)</f>
        <v>0</v>
      </c>
      <c r="W281" s="306">
        <f t="shared" si="86"/>
        <v>0</v>
      </c>
      <c r="X281" s="305">
        <f>IFERROR(SUMIF(気管支鏡!$C$30:$C$74,B281,気管支鏡!$K$30:$K$74)*((気管支鏡!$H$3-気管支鏡!$I$3)/気管支鏡!$H$3),0)</f>
        <v>0</v>
      </c>
      <c r="Y281" s="306">
        <f t="shared" si="72"/>
        <v>0</v>
      </c>
      <c r="Z281" s="305">
        <f>IFERROR(SUMIF(CT撮影装置!$C$30:$C$74,B281,CT撮影装置!$K$30:$K$74)*((CT撮影装置!$H$3-CT撮影装置!$I$3)/CT撮影装置!$H$3),0)</f>
        <v>0</v>
      </c>
      <c r="AA281" s="306">
        <f t="shared" si="87"/>
        <v>0</v>
      </c>
      <c r="AB281" s="305">
        <f>IFERROR(SUMIF(生体情報モニタ!$C$30:$C$74,B281,生体情報モニタ!$K$30:$K$74)*((生体情報モニタ!$H$3-生体情報モニタ!$I$3)/生体情報モニタ!$H$3),0)</f>
        <v>0</v>
      </c>
      <c r="AC281" s="306">
        <f t="shared" si="73"/>
        <v>0</v>
      </c>
      <c r="AD281" s="305">
        <f>IFERROR(SUMIF(分娩監視装置!$C$30:$C$74,B281,分娩監視装置!$K$30:$K$74)*((分娩監視装置!$H$3-分娩監視装置!$I$3)/分娩監視装置!$H$3),0)</f>
        <v>0</v>
      </c>
      <c r="AE281" s="306">
        <f t="shared" si="88"/>
        <v>0</v>
      </c>
      <c r="AF281" s="305">
        <f>IFERROR(SUMIF(新生児モニタ!$C$30:$C$74,B281,新生児モニタ!$K$30:$K$74)*((新生児モニタ!$H$3-新生児モニタ!$I$3)/新生児モニタ!$H$3),0)</f>
        <v>0</v>
      </c>
      <c r="AG281" s="306">
        <f t="shared" si="89"/>
        <v>0</v>
      </c>
    </row>
    <row r="282" spans="2:33">
      <c r="B282" s="283" t="s">
        <v>1095</v>
      </c>
      <c r="C282" s="305">
        <f>IFERROR(SUMIF(初度設備!$C$30:$C$74,B282,初度設備!$K$30:$K$74)*((初度設備!$H$3-初度設備!$I$3)/初度設備!$H$3),0)</f>
        <v>0</v>
      </c>
      <c r="D282" s="306">
        <f t="shared" si="74"/>
        <v>0</v>
      </c>
      <c r="E282" s="305">
        <f>IFERROR(SUMIF(人工呼吸器!$C$30:$C$74,B282,人工呼吸器!$K$30:$K$74)*((人工呼吸器!$H$3-人工呼吸器!$I$3)/人工呼吸器!$H$3),0)</f>
        <v>0</v>
      </c>
      <c r="F282" s="306">
        <f t="shared" si="75"/>
        <v>0</v>
      </c>
      <c r="G282" s="306">
        <f t="shared" si="76"/>
        <v>0</v>
      </c>
      <c r="H282" s="306">
        <f t="shared" si="77"/>
        <v>0</v>
      </c>
      <c r="I282" s="305">
        <f>IFERROR(SUMIF(簡易陰圧装置!$C$30:$C$74,B282,簡易陰圧装置!$K$30:$K$74)*((簡易陰圧装置!$H$3-簡易陰圧装置!$I$3)/簡易陰圧装置!$H$3),0)</f>
        <v>0</v>
      </c>
      <c r="J282" s="306">
        <f t="shared" si="78"/>
        <v>0</v>
      </c>
      <c r="K282" s="305">
        <f>IFERROR(SUMIF(簡易ベッド!$C$30:$C$74,B282,簡易ベッド!$K$30:$K$74)*((簡易ベッド!$H$3-簡易ベッド!$I$3)/簡易ベッド!$H$3),0)</f>
        <v>0</v>
      </c>
      <c r="L282" s="306">
        <f t="shared" si="79"/>
        <v>0</v>
      </c>
      <c r="M282" s="305">
        <f>IFERROR(SUMIF(体外式膜型人工肺!$C$30:$C$74,B282,体外式膜型人工肺!$K$30:$K$74)*((体外式膜型人工肺!$H$3-体外式膜型人工肺!$I$3)/体外式膜型人工肺!$H$3),0)</f>
        <v>0</v>
      </c>
      <c r="N282" s="306">
        <f t="shared" si="80"/>
        <v>0</v>
      </c>
      <c r="O282" s="306">
        <f t="shared" si="81"/>
        <v>0</v>
      </c>
      <c r="P282" s="306">
        <f t="shared" si="82"/>
        <v>0</v>
      </c>
      <c r="Q282" s="305">
        <f>IFERROR(SUMIF(紫外線照射装置!$C$30:$C$74,B282,紫外線照射装置!$K$30:$K$74)*((紫外線照射装置!$H$3-紫外線照射装置!$I$3)/紫外線照射装置!$H$3),0)</f>
        <v>0</v>
      </c>
      <c r="R282" s="306">
        <f t="shared" si="83"/>
        <v>0</v>
      </c>
      <c r="S282" s="419">
        <f t="shared" si="84"/>
        <v>0</v>
      </c>
      <c r="T282" s="305">
        <f>IFERROR(SUMIF(超音波画像診断装置!$C$30:$C$74,B282,超音波画像診断装置!$K$30:$K$74)*((超音波画像診断装置!$H$3-超音波画像診断装置!$I$3)/超音波画像診断装置!$H$3),0)</f>
        <v>0</v>
      </c>
      <c r="U282" s="306">
        <f t="shared" si="85"/>
        <v>0</v>
      </c>
      <c r="V282" s="305">
        <f>IFERROR(SUMIF(血液浄化装置!$C$30:$C$74,B282,血液浄化装置!$K$30:$K$74)*((血液浄化装置!$H$3-血液浄化装置!$I$3)/血液浄化装置!$H$3),0)</f>
        <v>0</v>
      </c>
      <c r="W282" s="306">
        <f t="shared" si="86"/>
        <v>0</v>
      </c>
      <c r="X282" s="305">
        <f>IFERROR(SUMIF(気管支鏡!$C$30:$C$74,B282,気管支鏡!$K$30:$K$74)*((気管支鏡!$H$3-気管支鏡!$I$3)/気管支鏡!$H$3),0)</f>
        <v>0</v>
      </c>
      <c r="Y282" s="306">
        <f t="shared" si="72"/>
        <v>0</v>
      </c>
      <c r="Z282" s="305">
        <f>IFERROR(SUMIF(CT撮影装置!$C$30:$C$74,B282,CT撮影装置!$K$30:$K$74)*((CT撮影装置!$H$3-CT撮影装置!$I$3)/CT撮影装置!$H$3),0)</f>
        <v>0</v>
      </c>
      <c r="AA282" s="306">
        <f t="shared" si="87"/>
        <v>0</v>
      </c>
      <c r="AB282" s="305">
        <f>IFERROR(SUMIF(生体情報モニタ!$C$30:$C$74,B282,生体情報モニタ!$K$30:$K$74)*((生体情報モニタ!$H$3-生体情報モニタ!$I$3)/生体情報モニタ!$H$3),0)</f>
        <v>0</v>
      </c>
      <c r="AC282" s="306">
        <f t="shared" si="73"/>
        <v>0</v>
      </c>
      <c r="AD282" s="305">
        <f>IFERROR(SUMIF(分娩監視装置!$C$30:$C$74,B282,分娩監視装置!$K$30:$K$74)*((分娩監視装置!$H$3-分娩監視装置!$I$3)/分娩監視装置!$H$3),0)</f>
        <v>0</v>
      </c>
      <c r="AE282" s="306">
        <f t="shared" si="88"/>
        <v>0</v>
      </c>
      <c r="AF282" s="305">
        <f>IFERROR(SUMIF(新生児モニタ!$C$30:$C$74,B282,新生児モニタ!$K$30:$K$74)*((新生児モニタ!$H$3-新生児モニタ!$I$3)/新生児モニタ!$H$3),0)</f>
        <v>0</v>
      </c>
      <c r="AG282" s="306">
        <f t="shared" si="89"/>
        <v>0</v>
      </c>
    </row>
    <row r="283" spans="2:33">
      <c r="B283" s="283" t="s">
        <v>1096</v>
      </c>
      <c r="C283" s="305">
        <f>IFERROR(SUMIF(初度設備!$C$30:$C$74,B283,初度設備!$K$30:$K$74)*((初度設備!$H$3-初度設備!$I$3)/初度設備!$H$3),0)</f>
        <v>0</v>
      </c>
      <c r="D283" s="306">
        <f t="shared" si="74"/>
        <v>0</v>
      </c>
      <c r="E283" s="305">
        <f>IFERROR(SUMIF(人工呼吸器!$C$30:$C$74,B283,人工呼吸器!$K$30:$K$74)*((人工呼吸器!$H$3-人工呼吸器!$I$3)/人工呼吸器!$H$3),0)</f>
        <v>0</v>
      </c>
      <c r="F283" s="306">
        <f t="shared" si="75"/>
        <v>0</v>
      </c>
      <c r="G283" s="306">
        <f t="shared" si="76"/>
        <v>0</v>
      </c>
      <c r="H283" s="306">
        <f t="shared" si="77"/>
        <v>0</v>
      </c>
      <c r="I283" s="305">
        <f>IFERROR(SUMIF(簡易陰圧装置!$C$30:$C$74,B283,簡易陰圧装置!$K$30:$K$74)*((簡易陰圧装置!$H$3-簡易陰圧装置!$I$3)/簡易陰圧装置!$H$3),0)</f>
        <v>0</v>
      </c>
      <c r="J283" s="306">
        <f t="shared" si="78"/>
        <v>0</v>
      </c>
      <c r="K283" s="305">
        <f>IFERROR(SUMIF(簡易ベッド!$C$30:$C$74,B283,簡易ベッド!$K$30:$K$74)*((簡易ベッド!$H$3-簡易ベッド!$I$3)/簡易ベッド!$H$3),0)</f>
        <v>0</v>
      </c>
      <c r="L283" s="306">
        <f t="shared" si="79"/>
        <v>0</v>
      </c>
      <c r="M283" s="305">
        <f>IFERROR(SUMIF(体外式膜型人工肺!$C$30:$C$74,B283,体外式膜型人工肺!$K$30:$K$74)*((体外式膜型人工肺!$H$3-体外式膜型人工肺!$I$3)/体外式膜型人工肺!$H$3),0)</f>
        <v>0</v>
      </c>
      <c r="N283" s="306">
        <f t="shared" si="80"/>
        <v>0</v>
      </c>
      <c r="O283" s="306">
        <f t="shared" si="81"/>
        <v>0</v>
      </c>
      <c r="P283" s="306">
        <f t="shared" si="82"/>
        <v>0</v>
      </c>
      <c r="Q283" s="305">
        <f>IFERROR(SUMIF(紫外線照射装置!$C$30:$C$74,B283,紫外線照射装置!$K$30:$K$74)*((紫外線照射装置!$H$3-紫外線照射装置!$I$3)/紫外線照射装置!$H$3),0)</f>
        <v>0</v>
      </c>
      <c r="R283" s="306">
        <f t="shared" si="83"/>
        <v>0</v>
      </c>
      <c r="S283" s="419">
        <f t="shared" si="84"/>
        <v>0</v>
      </c>
      <c r="T283" s="305">
        <f>IFERROR(SUMIF(超音波画像診断装置!$C$30:$C$74,B283,超音波画像診断装置!$K$30:$K$74)*((超音波画像診断装置!$H$3-超音波画像診断装置!$I$3)/超音波画像診断装置!$H$3),0)</f>
        <v>0</v>
      </c>
      <c r="U283" s="306">
        <f t="shared" si="85"/>
        <v>0</v>
      </c>
      <c r="V283" s="305">
        <f>IFERROR(SUMIF(血液浄化装置!$C$30:$C$74,B283,血液浄化装置!$K$30:$K$74)*((血液浄化装置!$H$3-血液浄化装置!$I$3)/血液浄化装置!$H$3),0)</f>
        <v>0</v>
      </c>
      <c r="W283" s="306">
        <f t="shared" si="86"/>
        <v>0</v>
      </c>
      <c r="X283" s="305">
        <f>IFERROR(SUMIF(気管支鏡!$C$30:$C$74,B283,気管支鏡!$K$30:$K$74)*((気管支鏡!$H$3-気管支鏡!$I$3)/気管支鏡!$H$3),0)</f>
        <v>0</v>
      </c>
      <c r="Y283" s="306">
        <f t="shared" si="72"/>
        <v>0</v>
      </c>
      <c r="Z283" s="305">
        <f>IFERROR(SUMIF(CT撮影装置!$C$30:$C$74,B283,CT撮影装置!$K$30:$K$74)*((CT撮影装置!$H$3-CT撮影装置!$I$3)/CT撮影装置!$H$3),0)</f>
        <v>0</v>
      </c>
      <c r="AA283" s="306">
        <f t="shared" si="87"/>
        <v>0</v>
      </c>
      <c r="AB283" s="305">
        <f>IFERROR(SUMIF(生体情報モニタ!$C$30:$C$74,B283,生体情報モニタ!$K$30:$K$74)*((生体情報モニタ!$H$3-生体情報モニタ!$I$3)/生体情報モニタ!$H$3),0)</f>
        <v>0</v>
      </c>
      <c r="AC283" s="306">
        <f t="shared" si="73"/>
        <v>0</v>
      </c>
      <c r="AD283" s="305">
        <f>IFERROR(SUMIF(分娩監視装置!$C$30:$C$74,B283,分娩監視装置!$K$30:$K$74)*((分娩監視装置!$H$3-分娩監視装置!$I$3)/分娩監視装置!$H$3),0)</f>
        <v>0</v>
      </c>
      <c r="AE283" s="306">
        <f t="shared" si="88"/>
        <v>0</v>
      </c>
      <c r="AF283" s="305">
        <f>IFERROR(SUMIF(新生児モニタ!$C$30:$C$74,B283,新生児モニタ!$K$30:$K$74)*((新生児モニタ!$H$3-新生児モニタ!$I$3)/新生児モニタ!$H$3),0)</f>
        <v>0</v>
      </c>
      <c r="AG283" s="306">
        <f t="shared" si="89"/>
        <v>0</v>
      </c>
    </row>
    <row r="284" spans="2:33">
      <c r="B284" s="283" t="s">
        <v>1097</v>
      </c>
      <c r="C284" s="305">
        <f>IFERROR(SUMIF(初度設備!$C$30:$C$74,B284,初度設備!$K$30:$K$74)*((初度設備!$H$3-初度設備!$I$3)/初度設備!$H$3),0)</f>
        <v>0</v>
      </c>
      <c r="D284" s="306">
        <f t="shared" si="74"/>
        <v>0</v>
      </c>
      <c r="E284" s="305">
        <f>IFERROR(SUMIF(人工呼吸器!$C$30:$C$74,B284,人工呼吸器!$K$30:$K$74)*((人工呼吸器!$H$3-人工呼吸器!$I$3)/人工呼吸器!$H$3),0)</f>
        <v>0</v>
      </c>
      <c r="F284" s="306">
        <f t="shared" si="75"/>
        <v>0</v>
      </c>
      <c r="G284" s="306">
        <f t="shared" si="76"/>
        <v>0</v>
      </c>
      <c r="H284" s="306">
        <f t="shared" si="77"/>
        <v>0</v>
      </c>
      <c r="I284" s="305">
        <f>IFERROR(SUMIF(簡易陰圧装置!$C$30:$C$74,B284,簡易陰圧装置!$K$30:$K$74)*((簡易陰圧装置!$H$3-簡易陰圧装置!$I$3)/簡易陰圧装置!$H$3),0)</f>
        <v>0</v>
      </c>
      <c r="J284" s="306">
        <f t="shared" si="78"/>
        <v>0</v>
      </c>
      <c r="K284" s="305">
        <f>IFERROR(SUMIF(簡易ベッド!$C$30:$C$74,B284,簡易ベッド!$K$30:$K$74)*((簡易ベッド!$H$3-簡易ベッド!$I$3)/簡易ベッド!$H$3),0)</f>
        <v>0</v>
      </c>
      <c r="L284" s="306">
        <f t="shared" si="79"/>
        <v>0</v>
      </c>
      <c r="M284" s="305">
        <f>IFERROR(SUMIF(体外式膜型人工肺!$C$30:$C$74,B284,体外式膜型人工肺!$K$30:$K$74)*((体外式膜型人工肺!$H$3-体外式膜型人工肺!$I$3)/体外式膜型人工肺!$H$3),0)</f>
        <v>0</v>
      </c>
      <c r="N284" s="306">
        <f t="shared" si="80"/>
        <v>0</v>
      </c>
      <c r="O284" s="306">
        <f t="shared" si="81"/>
        <v>0</v>
      </c>
      <c r="P284" s="306">
        <f t="shared" si="82"/>
        <v>0</v>
      </c>
      <c r="Q284" s="305">
        <f>IFERROR(SUMIF(紫外線照射装置!$C$30:$C$74,B284,紫外線照射装置!$K$30:$K$74)*((紫外線照射装置!$H$3-紫外線照射装置!$I$3)/紫外線照射装置!$H$3),0)</f>
        <v>0</v>
      </c>
      <c r="R284" s="306">
        <f t="shared" si="83"/>
        <v>0</v>
      </c>
      <c r="S284" s="419">
        <f t="shared" si="84"/>
        <v>0</v>
      </c>
      <c r="T284" s="305">
        <f>IFERROR(SUMIF(超音波画像診断装置!$C$30:$C$74,B284,超音波画像診断装置!$K$30:$K$74)*((超音波画像診断装置!$H$3-超音波画像診断装置!$I$3)/超音波画像診断装置!$H$3),0)</f>
        <v>0</v>
      </c>
      <c r="U284" s="306">
        <f t="shared" si="85"/>
        <v>0</v>
      </c>
      <c r="V284" s="305">
        <f>IFERROR(SUMIF(血液浄化装置!$C$30:$C$74,B284,血液浄化装置!$K$30:$K$74)*((血液浄化装置!$H$3-血液浄化装置!$I$3)/血液浄化装置!$H$3),0)</f>
        <v>0</v>
      </c>
      <c r="W284" s="306">
        <f t="shared" si="86"/>
        <v>0</v>
      </c>
      <c r="X284" s="305">
        <f>IFERROR(SUMIF(気管支鏡!$C$30:$C$74,B284,気管支鏡!$K$30:$K$74)*((気管支鏡!$H$3-気管支鏡!$I$3)/気管支鏡!$H$3),0)</f>
        <v>0</v>
      </c>
      <c r="Y284" s="306">
        <f t="shared" si="72"/>
        <v>0</v>
      </c>
      <c r="Z284" s="305">
        <f>IFERROR(SUMIF(CT撮影装置!$C$30:$C$74,B284,CT撮影装置!$K$30:$K$74)*((CT撮影装置!$H$3-CT撮影装置!$I$3)/CT撮影装置!$H$3),0)</f>
        <v>0</v>
      </c>
      <c r="AA284" s="306">
        <f t="shared" si="87"/>
        <v>0</v>
      </c>
      <c r="AB284" s="305">
        <f>IFERROR(SUMIF(生体情報モニタ!$C$30:$C$74,B284,生体情報モニタ!$K$30:$K$74)*((生体情報モニタ!$H$3-生体情報モニタ!$I$3)/生体情報モニタ!$H$3),0)</f>
        <v>0</v>
      </c>
      <c r="AC284" s="306">
        <f t="shared" si="73"/>
        <v>0</v>
      </c>
      <c r="AD284" s="305">
        <f>IFERROR(SUMIF(分娩監視装置!$C$30:$C$74,B284,分娩監視装置!$K$30:$K$74)*((分娩監視装置!$H$3-分娩監視装置!$I$3)/分娩監視装置!$H$3),0)</f>
        <v>0</v>
      </c>
      <c r="AE284" s="306">
        <f t="shared" si="88"/>
        <v>0</v>
      </c>
      <c r="AF284" s="305">
        <f>IFERROR(SUMIF(新生児モニタ!$C$30:$C$74,B284,新生児モニタ!$K$30:$K$74)*((新生児モニタ!$H$3-新生児モニタ!$I$3)/新生児モニタ!$H$3),0)</f>
        <v>0</v>
      </c>
      <c r="AG284" s="306">
        <f t="shared" si="89"/>
        <v>0</v>
      </c>
    </row>
    <row r="285" spans="2:33">
      <c r="B285" s="283" t="s">
        <v>1098</v>
      </c>
      <c r="C285" s="305">
        <f>IFERROR(SUMIF(初度設備!$C$30:$C$74,B285,初度設備!$K$30:$K$74)*((初度設備!$H$3-初度設備!$I$3)/初度設備!$H$3),0)</f>
        <v>0</v>
      </c>
      <c r="D285" s="306">
        <f t="shared" si="74"/>
        <v>0</v>
      </c>
      <c r="E285" s="305">
        <f>IFERROR(SUMIF(人工呼吸器!$C$30:$C$74,B285,人工呼吸器!$K$30:$K$74)*((人工呼吸器!$H$3-人工呼吸器!$I$3)/人工呼吸器!$H$3),0)</f>
        <v>0</v>
      </c>
      <c r="F285" s="306">
        <f t="shared" si="75"/>
        <v>0</v>
      </c>
      <c r="G285" s="306">
        <f t="shared" si="76"/>
        <v>0</v>
      </c>
      <c r="H285" s="306">
        <f t="shared" si="77"/>
        <v>0</v>
      </c>
      <c r="I285" s="305">
        <f>IFERROR(SUMIF(簡易陰圧装置!$C$30:$C$74,B285,簡易陰圧装置!$K$30:$K$74)*((簡易陰圧装置!$H$3-簡易陰圧装置!$I$3)/簡易陰圧装置!$H$3),0)</f>
        <v>0</v>
      </c>
      <c r="J285" s="306">
        <f t="shared" si="78"/>
        <v>0</v>
      </c>
      <c r="K285" s="305">
        <f>IFERROR(SUMIF(簡易ベッド!$C$30:$C$74,B285,簡易ベッド!$K$30:$K$74)*((簡易ベッド!$H$3-簡易ベッド!$I$3)/簡易ベッド!$H$3),0)</f>
        <v>0</v>
      </c>
      <c r="L285" s="306">
        <f t="shared" si="79"/>
        <v>0</v>
      </c>
      <c r="M285" s="305">
        <f>IFERROR(SUMIF(体外式膜型人工肺!$C$30:$C$74,B285,体外式膜型人工肺!$K$30:$K$74)*((体外式膜型人工肺!$H$3-体外式膜型人工肺!$I$3)/体外式膜型人工肺!$H$3),0)</f>
        <v>0</v>
      </c>
      <c r="N285" s="306">
        <f t="shared" si="80"/>
        <v>0</v>
      </c>
      <c r="O285" s="306">
        <f t="shared" si="81"/>
        <v>0</v>
      </c>
      <c r="P285" s="306">
        <f t="shared" si="82"/>
        <v>0</v>
      </c>
      <c r="Q285" s="305">
        <f>IFERROR(SUMIF(紫外線照射装置!$C$30:$C$74,B285,紫外線照射装置!$K$30:$K$74)*((紫外線照射装置!$H$3-紫外線照射装置!$I$3)/紫外線照射装置!$H$3),0)</f>
        <v>0</v>
      </c>
      <c r="R285" s="306">
        <f t="shared" si="83"/>
        <v>0</v>
      </c>
      <c r="S285" s="419">
        <f t="shared" si="84"/>
        <v>0</v>
      </c>
      <c r="T285" s="305">
        <f>IFERROR(SUMIF(超音波画像診断装置!$C$30:$C$74,B285,超音波画像診断装置!$K$30:$K$74)*((超音波画像診断装置!$H$3-超音波画像診断装置!$I$3)/超音波画像診断装置!$H$3),0)</f>
        <v>0</v>
      </c>
      <c r="U285" s="306">
        <f t="shared" si="85"/>
        <v>0</v>
      </c>
      <c r="V285" s="305">
        <f>IFERROR(SUMIF(血液浄化装置!$C$30:$C$74,B285,血液浄化装置!$K$30:$K$74)*((血液浄化装置!$H$3-血液浄化装置!$I$3)/血液浄化装置!$H$3),0)</f>
        <v>0</v>
      </c>
      <c r="W285" s="306">
        <f t="shared" si="86"/>
        <v>0</v>
      </c>
      <c r="X285" s="305">
        <f>IFERROR(SUMIF(気管支鏡!$C$30:$C$74,B285,気管支鏡!$K$30:$K$74)*((気管支鏡!$H$3-気管支鏡!$I$3)/気管支鏡!$H$3),0)</f>
        <v>0</v>
      </c>
      <c r="Y285" s="306">
        <f t="shared" si="72"/>
        <v>0</v>
      </c>
      <c r="Z285" s="305">
        <f>IFERROR(SUMIF(CT撮影装置!$C$30:$C$74,B285,CT撮影装置!$K$30:$K$74)*((CT撮影装置!$H$3-CT撮影装置!$I$3)/CT撮影装置!$H$3),0)</f>
        <v>0</v>
      </c>
      <c r="AA285" s="306">
        <f t="shared" si="87"/>
        <v>0</v>
      </c>
      <c r="AB285" s="305">
        <f>IFERROR(SUMIF(生体情報モニタ!$C$30:$C$74,B285,生体情報モニタ!$K$30:$K$74)*((生体情報モニタ!$H$3-生体情報モニタ!$I$3)/生体情報モニタ!$H$3),0)</f>
        <v>0</v>
      </c>
      <c r="AC285" s="306">
        <f t="shared" si="73"/>
        <v>0</v>
      </c>
      <c r="AD285" s="305">
        <f>IFERROR(SUMIF(分娩監視装置!$C$30:$C$74,B285,分娩監視装置!$K$30:$K$74)*((分娩監視装置!$H$3-分娩監視装置!$I$3)/分娩監視装置!$H$3),0)</f>
        <v>0</v>
      </c>
      <c r="AE285" s="306">
        <f t="shared" si="88"/>
        <v>0</v>
      </c>
      <c r="AF285" s="305">
        <f>IFERROR(SUMIF(新生児モニタ!$C$30:$C$74,B285,新生児モニタ!$K$30:$K$74)*((新生児モニタ!$H$3-新生児モニタ!$I$3)/新生児モニタ!$H$3),0)</f>
        <v>0</v>
      </c>
      <c r="AG285" s="306">
        <f t="shared" si="89"/>
        <v>0</v>
      </c>
    </row>
    <row r="286" spans="2:33">
      <c r="B286" s="283" t="s">
        <v>1099</v>
      </c>
      <c r="C286" s="305">
        <f>IFERROR(SUMIF(初度設備!$C$30:$C$74,B286,初度設備!$K$30:$K$74)*((初度設備!$H$3-初度設備!$I$3)/初度設備!$H$3),0)</f>
        <v>0</v>
      </c>
      <c r="D286" s="306">
        <f t="shared" si="74"/>
        <v>0</v>
      </c>
      <c r="E286" s="305">
        <f>IFERROR(SUMIF(人工呼吸器!$C$30:$C$74,B286,人工呼吸器!$K$30:$K$74)*((人工呼吸器!$H$3-人工呼吸器!$I$3)/人工呼吸器!$H$3),0)</f>
        <v>0</v>
      </c>
      <c r="F286" s="306">
        <f t="shared" si="75"/>
        <v>0</v>
      </c>
      <c r="G286" s="306">
        <f t="shared" si="76"/>
        <v>0</v>
      </c>
      <c r="H286" s="306">
        <f t="shared" si="77"/>
        <v>0</v>
      </c>
      <c r="I286" s="305">
        <f>IFERROR(SUMIF(簡易陰圧装置!$C$30:$C$74,B286,簡易陰圧装置!$K$30:$K$74)*((簡易陰圧装置!$H$3-簡易陰圧装置!$I$3)/簡易陰圧装置!$H$3),0)</f>
        <v>0</v>
      </c>
      <c r="J286" s="306">
        <f t="shared" si="78"/>
        <v>0</v>
      </c>
      <c r="K286" s="305">
        <f>IFERROR(SUMIF(簡易ベッド!$C$30:$C$74,B286,簡易ベッド!$K$30:$K$74)*((簡易ベッド!$H$3-簡易ベッド!$I$3)/簡易ベッド!$H$3),0)</f>
        <v>0</v>
      </c>
      <c r="L286" s="306">
        <f t="shared" si="79"/>
        <v>0</v>
      </c>
      <c r="M286" s="305">
        <f>IFERROR(SUMIF(体外式膜型人工肺!$C$30:$C$74,B286,体外式膜型人工肺!$K$30:$K$74)*((体外式膜型人工肺!$H$3-体外式膜型人工肺!$I$3)/体外式膜型人工肺!$H$3),0)</f>
        <v>0</v>
      </c>
      <c r="N286" s="306">
        <f t="shared" si="80"/>
        <v>0</v>
      </c>
      <c r="O286" s="306">
        <f t="shared" si="81"/>
        <v>0</v>
      </c>
      <c r="P286" s="306">
        <f t="shared" si="82"/>
        <v>0</v>
      </c>
      <c r="Q286" s="305">
        <f>IFERROR(SUMIF(紫外線照射装置!$C$30:$C$74,B286,紫外線照射装置!$K$30:$K$74)*((紫外線照射装置!$H$3-紫外線照射装置!$I$3)/紫外線照射装置!$H$3),0)</f>
        <v>0</v>
      </c>
      <c r="R286" s="306">
        <f t="shared" si="83"/>
        <v>0</v>
      </c>
      <c r="S286" s="419">
        <f t="shared" si="84"/>
        <v>0</v>
      </c>
      <c r="T286" s="305">
        <f>IFERROR(SUMIF(超音波画像診断装置!$C$30:$C$74,B286,超音波画像診断装置!$K$30:$K$74)*((超音波画像診断装置!$H$3-超音波画像診断装置!$I$3)/超音波画像診断装置!$H$3),0)</f>
        <v>0</v>
      </c>
      <c r="U286" s="306">
        <f t="shared" si="85"/>
        <v>0</v>
      </c>
      <c r="V286" s="305">
        <f>IFERROR(SUMIF(血液浄化装置!$C$30:$C$74,B286,血液浄化装置!$K$30:$K$74)*((血液浄化装置!$H$3-血液浄化装置!$I$3)/血液浄化装置!$H$3),0)</f>
        <v>0</v>
      </c>
      <c r="W286" s="306">
        <f t="shared" si="86"/>
        <v>0</v>
      </c>
      <c r="X286" s="305">
        <f>IFERROR(SUMIF(気管支鏡!$C$30:$C$74,B286,気管支鏡!$K$30:$K$74)*((気管支鏡!$H$3-気管支鏡!$I$3)/気管支鏡!$H$3),0)</f>
        <v>0</v>
      </c>
      <c r="Y286" s="306">
        <f t="shared" si="72"/>
        <v>0</v>
      </c>
      <c r="Z286" s="305">
        <f>IFERROR(SUMIF(CT撮影装置!$C$30:$C$74,B286,CT撮影装置!$K$30:$K$74)*((CT撮影装置!$H$3-CT撮影装置!$I$3)/CT撮影装置!$H$3),0)</f>
        <v>0</v>
      </c>
      <c r="AA286" s="306">
        <f t="shared" si="87"/>
        <v>0</v>
      </c>
      <c r="AB286" s="305">
        <f>IFERROR(SUMIF(生体情報モニタ!$C$30:$C$74,B286,生体情報モニタ!$K$30:$K$74)*((生体情報モニタ!$H$3-生体情報モニタ!$I$3)/生体情報モニタ!$H$3),0)</f>
        <v>0</v>
      </c>
      <c r="AC286" s="306">
        <f t="shared" si="73"/>
        <v>0</v>
      </c>
      <c r="AD286" s="305">
        <f>IFERROR(SUMIF(分娩監視装置!$C$30:$C$74,B286,分娩監視装置!$K$30:$K$74)*((分娩監視装置!$H$3-分娩監視装置!$I$3)/分娩監視装置!$H$3),0)</f>
        <v>0</v>
      </c>
      <c r="AE286" s="306">
        <f t="shared" si="88"/>
        <v>0</v>
      </c>
      <c r="AF286" s="305">
        <f>IFERROR(SUMIF(新生児モニタ!$C$30:$C$74,B286,新生児モニタ!$K$30:$K$74)*((新生児モニタ!$H$3-新生児モニタ!$I$3)/新生児モニタ!$H$3),0)</f>
        <v>0</v>
      </c>
      <c r="AG286" s="306">
        <f t="shared" si="89"/>
        <v>0</v>
      </c>
    </row>
    <row r="287" spans="2:33">
      <c r="B287" s="283" t="s">
        <v>1100</v>
      </c>
      <c r="C287" s="305">
        <f>IFERROR(SUMIF(初度設備!$C$30:$C$74,B287,初度設備!$K$30:$K$74)*((初度設備!$H$3-初度設備!$I$3)/初度設備!$H$3),0)</f>
        <v>0</v>
      </c>
      <c r="D287" s="306">
        <f t="shared" si="74"/>
        <v>0</v>
      </c>
      <c r="E287" s="305">
        <f>IFERROR(SUMIF(人工呼吸器!$C$30:$C$74,B287,人工呼吸器!$K$30:$K$74)*((人工呼吸器!$H$3-人工呼吸器!$I$3)/人工呼吸器!$H$3),0)</f>
        <v>0</v>
      </c>
      <c r="F287" s="306">
        <f t="shared" si="75"/>
        <v>0</v>
      </c>
      <c r="G287" s="306">
        <f t="shared" si="76"/>
        <v>0</v>
      </c>
      <c r="H287" s="306">
        <f t="shared" si="77"/>
        <v>0</v>
      </c>
      <c r="I287" s="305">
        <f>IFERROR(SUMIF(簡易陰圧装置!$C$30:$C$74,B287,簡易陰圧装置!$K$30:$K$74)*((簡易陰圧装置!$H$3-簡易陰圧装置!$I$3)/簡易陰圧装置!$H$3),0)</f>
        <v>0</v>
      </c>
      <c r="J287" s="306">
        <f t="shared" si="78"/>
        <v>0</v>
      </c>
      <c r="K287" s="305">
        <f>IFERROR(SUMIF(簡易ベッド!$C$30:$C$74,B287,簡易ベッド!$K$30:$K$74)*((簡易ベッド!$H$3-簡易ベッド!$I$3)/簡易ベッド!$H$3),0)</f>
        <v>0</v>
      </c>
      <c r="L287" s="306">
        <f t="shared" si="79"/>
        <v>0</v>
      </c>
      <c r="M287" s="305">
        <f>IFERROR(SUMIF(体外式膜型人工肺!$C$30:$C$74,B287,体外式膜型人工肺!$K$30:$K$74)*((体外式膜型人工肺!$H$3-体外式膜型人工肺!$I$3)/体外式膜型人工肺!$H$3),0)</f>
        <v>0</v>
      </c>
      <c r="N287" s="306">
        <f t="shared" si="80"/>
        <v>0</v>
      </c>
      <c r="O287" s="306">
        <f t="shared" si="81"/>
        <v>0</v>
      </c>
      <c r="P287" s="306">
        <f t="shared" si="82"/>
        <v>0</v>
      </c>
      <c r="Q287" s="305">
        <f>IFERROR(SUMIF(紫外線照射装置!$C$30:$C$74,B287,紫外線照射装置!$K$30:$K$74)*((紫外線照射装置!$H$3-紫外線照射装置!$I$3)/紫外線照射装置!$H$3),0)</f>
        <v>0</v>
      </c>
      <c r="R287" s="306">
        <f t="shared" si="83"/>
        <v>0</v>
      </c>
      <c r="S287" s="419">
        <f t="shared" si="84"/>
        <v>0</v>
      </c>
      <c r="T287" s="305">
        <f>IFERROR(SUMIF(超音波画像診断装置!$C$30:$C$74,B287,超音波画像診断装置!$K$30:$K$74)*((超音波画像診断装置!$H$3-超音波画像診断装置!$I$3)/超音波画像診断装置!$H$3),0)</f>
        <v>0</v>
      </c>
      <c r="U287" s="306">
        <f t="shared" si="85"/>
        <v>0</v>
      </c>
      <c r="V287" s="305">
        <f>IFERROR(SUMIF(血液浄化装置!$C$30:$C$74,B287,血液浄化装置!$K$30:$K$74)*((血液浄化装置!$H$3-血液浄化装置!$I$3)/血液浄化装置!$H$3),0)</f>
        <v>0</v>
      </c>
      <c r="W287" s="306">
        <f t="shared" si="86"/>
        <v>0</v>
      </c>
      <c r="X287" s="305">
        <f>IFERROR(SUMIF(気管支鏡!$C$30:$C$74,B287,気管支鏡!$K$30:$K$74)*((気管支鏡!$H$3-気管支鏡!$I$3)/気管支鏡!$H$3),0)</f>
        <v>0</v>
      </c>
      <c r="Y287" s="306">
        <f t="shared" si="72"/>
        <v>0</v>
      </c>
      <c r="Z287" s="305">
        <f>IFERROR(SUMIF(CT撮影装置!$C$30:$C$74,B287,CT撮影装置!$K$30:$K$74)*((CT撮影装置!$H$3-CT撮影装置!$I$3)/CT撮影装置!$H$3),0)</f>
        <v>0</v>
      </c>
      <c r="AA287" s="306">
        <f t="shared" si="87"/>
        <v>0</v>
      </c>
      <c r="AB287" s="305">
        <f>IFERROR(SUMIF(生体情報モニタ!$C$30:$C$74,B287,生体情報モニタ!$K$30:$K$74)*((生体情報モニタ!$H$3-生体情報モニタ!$I$3)/生体情報モニタ!$H$3),0)</f>
        <v>0</v>
      </c>
      <c r="AC287" s="306">
        <f t="shared" si="73"/>
        <v>0</v>
      </c>
      <c r="AD287" s="305">
        <f>IFERROR(SUMIF(分娩監視装置!$C$30:$C$74,B287,分娩監視装置!$K$30:$K$74)*((分娩監視装置!$H$3-分娩監視装置!$I$3)/分娩監視装置!$H$3),0)</f>
        <v>0</v>
      </c>
      <c r="AE287" s="306">
        <f t="shared" si="88"/>
        <v>0</v>
      </c>
      <c r="AF287" s="305">
        <f>IFERROR(SUMIF(新生児モニタ!$C$30:$C$74,B287,新生児モニタ!$K$30:$K$74)*((新生児モニタ!$H$3-新生児モニタ!$I$3)/新生児モニタ!$H$3),0)</f>
        <v>0</v>
      </c>
      <c r="AG287" s="306">
        <f t="shared" si="89"/>
        <v>0</v>
      </c>
    </row>
    <row r="288" spans="2:33">
      <c r="B288" s="283" t="s">
        <v>1101</v>
      </c>
      <c r="C288" s="305">
        <f>IFERROR(SUMIF(初度設備!$C$30:$C$74,B288,初度設備!$K$30:$K$74)*((初度設備!$H$3-初度設備!$I$3)/初度設備!$H$3),0)</f>
        <v>0</v>
      </c>
      <c r="D288" s="306">
        <f t="shared" si="74"/>
        <v>0</v>
      </c>
      <c r="E288" s="305">
        <f>IFERROR(SUMIF(人工呼吸器!$C$30:$C$74,B288,人工呼吸器!$K$30:$K$74)*((人工呼吸器!$H$3-人工呼吸器!$I$3)/人工呼吸器!$H$3),0)</f>
        <v>0</v>
      </c>
      <c r="F288" s="306">
        <f t="shared" si="75"/>
        <v>0</v>
      </c>
      <c r="G288" s="306">
        <f t="shared" si="76"/>
        <v>0</v>
      </c>
      <c r="H288" s="306">
        <f t="shared" si="77"/>
        <v>0</v>
      </c>
      <c r="I288" s="305">
        <f>IFERROR(SUMIF(簡易陰圧装置!$C$30:$C$74,B288,簡易陰圧装置!$K$30:$K$74)*((簡易陰圧装置!$H$3-簡易陰圧装置!$I$3)/簡易陰圧装置!$H$3),0)</f>
        <v>0</v>
      </c>
      <c r="J288" s="306">
        <f t="shared" si="78"/>
        <v>0</v>
      </c>
      <c r="K288" s="305">
        <f>IFERROR(SUMIF(簡易ベッド!$C$30:$C$74,B288,簡易ベッド!$K$30:$K$74)*((簡易ベッド!$H$3-簡易ベッド!$I$3)/簡易ベッド!$H$3),0)</f>
        <v>0</v>
      </c>
      <c r="L288" s="306">
        <f t="shared" si="79"/>
        <v>0</v>
      </c>
      <c r="M288" s="305">
        <f>IFERROR(SUMIF(体外式膜型人工肺!$C$30:$C$74,B288,体外式膜型人工肺!$K$30:$K$74)*((体外式膜型人工肺!$H$3-体外式膜型人工肺!$I$3)/体外式膜型人工肺!$H$3),0)</f>
        <v>0</v>
      </c>
      <c r="N288" s="306">
        <f t="shared" si="80"/>
        <v>0</v>
      </c>
      <c r="O288" s="306">
        <f t="shared" si="81"/>
        <v>0</v>
      </c>
      <c r="P288" s="306">
        <f t="shared" si="82"/>
        <v>0</v>
      </c>
      <c r="Q288" s="305">
        <f>IFERROR(SUMIF(紫外線照射装置!$C$30:$C$74,B288,紫外線照射装置!$K$30:$K$74)*((紫外線照射装置!$H$3-紫外線照射装置!$I$3)/紫外線照射装置!$H$3),0)</f>
        <v>0</v>
      </c>
      <c r="R288" s="306">
        <f t="shared" si="83"/>
        <v>0</v>
      </c>
      <c r="S288" s="419">
        <f t="shared" si="84"/>
        <v>0</v>
      </c>
      <c r="T288" s="305">
        <f>IFERROR(SUMIF(超音波画像診断装置!$C$30:$C$74,B288,超音波画像診断装置!$K$30:$K$74)*((超音波画像診断装置!$H$3-超音波画像診断装置!$I$3)/超音波画像診断装置!$H$3),0)</f>
        <v>0</v>
      </c>
      <c r="U288" s="306">
        <f t="shared" si="85"/>
        <v>0</v>
      </c>
      <c r="V288" s="305">
        <f>IFERROR(SUMIF(血液浄化装置!$C$30:$C$74,B288,血液浄化装置!$K$30:$K$74)*((血液浄化装置!$H$3-血液浄化装置!$I$3)/血液浄化装置!$H$3),0)</f>
        <v>0</v>
      </c>
      <c r="W288" s="306">
        <f t="shared" si="86"/>
        <v>0</v>
      </c>
      <c r="X288" s="305">
        <f>IFERROR(SUMIF(気管支鏡!$C$30:$C$74,B288,気管支鏡!$K$30:$K$74)*((気管支鏡!$H$3-気管支鏡!$I$3)/気管支鏡!$H$3),0)</f>
        <v>0</v>
      </c>
      <c r="Y288" s="306">
        <f t="shared" si="72"/>
        <v>0</v>
      </c>
      <c r="Z288" s="305">
        <f>IFERROR(SUMIF(CT撮影装置!$C$30:$C$74,B288,CT撮影装置!$K$30:$K$74)*((CT撮影装置!$H$3-CT撮影装置!$I$3)/CT撮影装置!$H$3),0)</f>
        <v>0</v>
      </c>
      <c r="AA288" s="306">
        <f t="shared" si="87"/>
        <v>0</v>
      </c>
      <c r="AB288" s="305">
        <f>IFERROR(SUMIF(生体情報モニタ!$C$30:$C$74,B288,生体情報モニタ!$K$30:$K$74)*((生体情報モニタ!$H$3-生体情報モニタ!$I$3)/生体情報モニタ!$H$3),0)</f>
        <v>0</v>
      </c>
      <c r="AC288" s="306">
        <f t="shared" si="73"/>
        <v>0</v>
      </c>
      <c r="AD288" s="305">
        <f>IFERROR(SUMIF(分娩監視装置!$C$30:$C$74,B288,分娩監視装置!$K$30:$K$74)*((分娩監視装置!$H$3-分娩監視装置!$I$3)/分娩監視装置!$H$3),0)</f>
        <v>0</v>
      </c>
      <c r="AE288" s="306">
        <f t="shared" si="88"/>
        <v>0</v>
      </c>
      <c r="AF288" s="305">
        <f>IFERROR(SUMIF(新生児モニタ!$C$30:$C$74,B288,新生児モニタ!$K$30:$K$74)*((新生児モニタ!$H$3-新生児モニタ!$I$3)/新生児モニタ!$H$3),0)</f>
        <v>0</v>
      </c>
      <c r="AG288" s="306">
        <f t="shared" si="89"/>
        <v>0</v>
      </c>
    </row>
    <row r="289" spans="2:33">
      <c r="B289" s="283" t="s">
        <v>1102</v>
      </c>
      <c r="C289" s="305">
        <f>IFERROR(SUMIF(初度設備!$C$30:$C$74,B289,初度設備!$K$30:$K$74)*((初度設備!$H$3-初度設備!$I$3)/初度設備!$H$3),0)</f>
        <v>0</v>
      </c>
      <c r="D289" s="306">
        <f t="shared" si="74"/>
        <v>0</v>
      </c>
      <c r="E289" s="305">
        <f>IFERROR(SUMIF(人工呼吸器!$C$30:$C$74,B289,人工呼吸器!$K$30:$K$74)*((人工呼吸器!$H$3-人工呼吸器!$I$3)/人工呼吸器!$H$3),0)</f>
        <v>0</v>
      </c>
      <c r="F289" s="306">
        <f t="shared" si="75"/>
        <v>0</v>
      </c>
      <c r="G289" s="306">
        <f t="shared" si="76"/>
        <v>0</v>
      </c>
      <c r="H289" s="306">
        <f t="shared" si="77"/>
        <v>0</v>
      </c>
      <c r="I289" s="305">
        <f>IFERROR(SUMIF(簡易陰圧装置!$C$30:$C$74,B289,簡易陰圧装置!$K$30:$K$74)*((簡易陰圧装置!$H$3-簡易陰圧装置!$I$3)/簡易陰圧装置!$H$3),0)</f>
        <v>0</v>
      </c>
      <c r="J289" s="306">
        <f t="shared" si="78"/>
        <v>0</v>
      </c>
      <c r="K289" s="305">
        <f>IFERROR(SUMIF(簡易ベッド!$C$30:$C$74,B289,簡易ベッド!$K$30:$K$74)*((簡易ベッド!$H$3-簡易ベッド!$I$3)/簡易ベッド!$H$3),0)</f>
        <v>0</v>
      </c>
      <c r="L289" s="306">
        <f t="shared" si="79"/>
        <v>0</v>
      </c>
      <c r="M289" s="305">
        <f>IFERROR(SUMIF(体外式膜型人工肺!$C$30:$C$74,B289,体外式膜型人工肺!$K$30:$K$74)*((体外式膜型人工肺!$H$3-体外式膜型人工肺!$I$3)/体外式膜型人工肺!$H$3),0)</f>
        <v>0</v>
      </c>
      <c r="N289" s="306">
        <f t="shared" si="80"/>
        <v>0</v>
      </c>
      <c r="O289" s="306">
        <f t="shared" si="81"/>
        <v>0</v>
      </c>
      <c r="P289" s="306">
        <f t="shared" si="82"/>
        <v>0</v>
      </c>
      <c r="Q289" s="305">
        <f>IFERROR(SUMIF(紫外線照射装置!$C$30:$C$74,B289,紫外線照射装置!$K$30:$K$74)*((紫外線照射装置!$H$3-紫外線照射装置!$I$3)/紫外線照射装置!$H$3),0)</f>
        <v>0</v>
      </c>
      <c r="R289" s="306">
        <f t="shared" si="83"/>
        <v>0</v>
      </c>
      <c r="S289" s="419">
        <f t="shared" si="84"/>
        <v>0</v>
      </c>
      <c r="T289" s="305">
        <f>IFERROR(SUMIF(超音波画像診断装置!$C$30:$C$74,B289,超音波画像診断装置!$K$30:$K$74)*((超音波画像診断装置!$H$3-超音波画像診断装置!$I$3)/超音波画像診断装置!$H$3),0)</f>
        <v>0</v>
      </c>
      <c r="U289" s="306">
        <f t="shared" si="85"/>
        <v>0</v>
      </c>
      <c r="V289" s="305">
        <f>IFERROR(SUMIF(血液浄化装置!$C$30:$C$74,B289,血液浄化装置!$K$30:$K$74)*((血液浄化装置!$H$3-血液浄化装置!$I$3)/血液浄化装置!$H$3),0)</f>
        <v>0</v>
      </c>
      <c r="W289" s="306">
        <f t="shared" si="86"/>
        <v>0</v>
      </c>
      <c r="X289" s="305">
        <f>IFERROR(SUMIF(気管支鏡!$C$30:$C$74,B289,気管支鏡!$K$30:$K$74)*((気管支鏡!$H$3-気管支鏡!$I$3)/気管支鏡!$H$3),0)</f>
        <v>0</v>
      </c>
      <c r="Y289" s="306">
        <f t="shared" si="72"/>
        <v>0</v>
      </c>
      <c r="Z289" s="305">
        <f>IFERROR(SUMIF(CT撮影装置!$C$30:$C$74,B289,CT撮影装置!$K$30:$K$74)*((CT撮影装置!$H$3-CT撮影装置!$I$3)/CT撮影装置!$H$3),0)</f>
        <v>0</v>
      </c>
      <c r="AA289" s="306">
        <f t="shared" si="87"/>
        <v>0</v>
      </c>
      <c r="AB289" s="305">
        <f>IFERROR(SUMIF(生体情報モニタ!$C$30:$C$74,B289,生体情報モニタ!$K$30:$K$74)*((生体情報モニタ!$H$3-生体情報モニタ!$I$3)/生体情報モニタ!$H$3),0)</f>
        <v>0</v>
      </c>
      <c r="AC289" s="306">
        <f t="shared" si="73"/>
        <v>0</v>
      </c>
      <c r="AD289" s="305">
        <f>IFERROR(SUMIF(分娩監視装置!$C$30:$C$74,B289,分娩監視装置!$K$30:$K$74)*((分娩監視装置!$H$3-分娩監視装置!$I$3)/分娩監視装置!$H$3),0)</f>
        <v>0</v>
      </c>
      <c r="AE289" s="306">
        <f t="shared" si="88"/>
        <v>0</v>
      </c>
      <c r="AF289" s="305">
        <f>IFERROR(SUMIF(新生児モニタ!$C$30:$C$74,B289,新生児モニタ!$K$30:$K$74)*((新生児モニタ!$H$3-新生児モニタ!$I$3)/新生児モニタ!$H$3),0)</f>
        <v>0</v>
      </c>
      <c r="AG289" s="306">
        <f t="shared" si="89"/>
        <v>0</v>
      </c>
    </row>
    <row r="290" spans="2:33">
      <c r="B290" s="283" t="s">
        <v>1103</v>
      </c>
      <c r="C290" s="305">
        <f>IFERROR(SUMIF(初度設備!$C$30:$C$74,B290,初度設備!$K$30:$K$74)*((初度設備!$H$3-初度設備!$I$3)/初度設備!$H$3),0)</f>
        <v>0</v>
      </c>
      <c r="D290" s="306">
        <f t="shared" si="74"/>
        <v>0</v>
      </c>
      <c r="E290" s="305">
        <f>IFERROR(SUMIF(人工呼吸器!$C$30:$C$74,B290,人工呼吸器!$K$30:$K$74)*((人工呼吸器!$H$3-人工呼吸器!$I$3)/人工呼吸器!$H$3),0)</f>
        <v>0</v>
      </c>
      <c r="F290" s="306">
        <f t="shared" si="75"/>
        <v>0</v>
      </c>
      <c r="G290" s="306">
        <f t="shared" si="76"/>
        <v>0</v>
      </c>
      <c r="H290" s="306">
        <f t="shared" si="77"/>
        <v>0</v>
      </c>
      <c r="I290" s="305">
        <f>IFERROR(SUMIF(簡易陰圧装置!$C$30:$C$74,B290,簡易陰圧装置!$K$30:$K$74)*((簡易陰圧装置!$H$3-簡易陰圧装置!$I$3)/簡易陰圧装置!$H$3),0)</f>
        <v>0</v>
      </c>
      <c r="J290" s="306">
        <f t="shared" si="78"/>
        <v>0</v>
      </c>
      <c r="K290" s="305">
        <f>IFERROR(SUMIF(簡易ベッド!$C$30:$C$74,B290,簡易ベッド!$K$30:$K$74)*((簡易ベッド!$H$3-簡易ベッド!$I$3)/簡易ベッド!$H$3),0)</f>
        <v>0</v>
      </c>
      <c r="L290" s="306">
        <f t="shared" si="79"/>
        <v>0</v>
      </c>
      <c r="M290" s="305">
        <f>IFERROR(SUMIF(体外式膜型人工肺!$C$30:$C$74,B290,体外式膜型人工肺!$K$30:$K$74)*((体外式膜型人工肺!$H$3-体外式膜型人工肺!$I$3)/体外式膜型人工肺!$H$3),0)</f>
        <v>0</v>
      </c>
      <c r="N290" s="306">
        <f t="shared" si="80"/>
        <v>0</v>
      </c>
      <c r="O290" s="306">
        <f t="shared" si="81"/>
        <v>0</v>
      </c>
      <c r="P290" s="306">
        <f t="shared" si="82"/>
        <v>0</v>
      </c>
      <c r="Q290" s="305">
        <f>IFERROR(SUMIF(紫外線照射装置!$C$30:$C$74,B290,紫外線照射装置!$K$30:$K$74)*((紫外線照射装置!$H$3-紫外線照射装置!$I$3)/紫外線照射装置!$H$3),0)</f>
        <v>0</v>
      </c>
      <c r="R290" s="306">
        <f t="shared" si="83"/>
        <v>0</v>
      </c>
      <c r="S290" s="419">
        <f t="shared" si="84"/>
        <v>0</v>
      </c>
      <c r="T290" s="305">
        <f>IFERROR(SUMIF(超音波画像診断装置!$C$30:$C$74,B290,超音波画像診断装置!$K$30:$K$74)*((超音波画像診断装置!$H$3-超音波画像診断装置!$I$3)/超音波画像診断装置!$H$3),0)</f>
        <v>0</v>
      </c>
      <c r="U290" s="306">
        <f t="shared" si="85"/>
        <v>0</v>
      </c>
      <c r="V290" s="305">
        <f>IFERROR(SUMIF(血液浄化装置!$C$30:$C$74,B290,血液浄化装置!$K$30:$K$74)*((血液浄化装置!$H$3-血液浄化装置!$I$3)/血液浄化装置!$H$3),0)</f>
        <v>0</v>
      </c>
      <c r="W290" s="306">
        <f t="shared" si="86"/>
        <v>0</v>
      </c>
      <c r="X290" s="305">
        <f>IFERROR(SUMIF(気管支鏡!$C$30:$C$74,B290,気管支鏡!$K$30:$K$74)*((気管支鏡!$H$3-気管支鏡!$I$3)/気管支鏡!$H$3),0)</f>
        <v>0</v>
      </c>
      <c r="Y290" s="306">
        <f t="shared" si="72"/>
        <v>0</v>
      </c>
      <c r="Z290" s="305">
        <f>IFERROR(SUMIF(CT撮影装置!$C$30:$C$74,B290,CT撮影装置!$K$30:$K$74)*((CT撮影装置!$H$3-CT撮影装置!$I$3)/CT撮影装置!$H$3),0)</f>
        <v>0</v>
      </c>
      <c r="AA290" s="306">
        <f t="shared" si="87"/>
        <v>0</v>
      </c>
      <c r="AB290" s="305">
        <f>IFERROR(SUMIF(生体情報モニタ!$C$30:$C$74,B290,生体情報モニタ!$K$30:$K$74)*((生体情報モニタ!$H$3-生体情報モニタ!$I$3)/生体情報モニタ!$H$3),0)</f>
        <v>0</v>
      </c>
      <c r="AC290" s="306">
        <f t="shared" si="73"/>
        <v>0</v>
      </c>
      <c r="AD290" s="305">
        <f>IFERROR(SUMIF(分娩監視装置!$C$30:$C$74,B290,分娩監視装置!$K$30:$K$74)*((分娩監視装置!$H$3-分娩監視装置!$I$3)/分娩監視装置!$H$3),0)</f>
        <v>0</v>
      </c>
      <c r="AE290" s="306">
        <f t="shared" si="88"/>
        <v>0</v>
      </c>
      <c r="AF290" s="305">
        <f>IFERROR(SUMIF(新生児モニタ!$C$30:$C$74,B290,新生児モニタ!$K$30:$K$74)*((新生児モニタ!$H$3-新生児モニタ!$I$3)/新生児モニタ!$H$3),0)</f>
        <v>0</v>
      </c>
      <c r="AG290" s="306">
        <f t="shared" si="89"/>
        <v>0</v>
      </c>
    </row>
    <row r="291" spans="2:33">
      <c r="B291" s="283" t="s">
        <v>1104</v>
      </c>
      <c r="C291" s="305">
        <f>IFERROR(SUMIF(初度設備!$C$30:$C$74,B291,初度設備!$K$30:$K$74)*((初度設備!$H$3-初度設備!$I$3)/初度設備!$H$3),0)</f>
        <v>0</v>
      </c>
      <c r="D291" s="306">
        <f t="shared" si="74"/>
        <v>0</v>
      </c>
      <c r="E291" s="305">
        <f>IFERROR(SUMIF(人工呼吸器!$C$30:$C$74,B291,人工呼吸器!$K$30:$K$74)*((人工呼吸器!$H$3-人工呼吸器!$I$3)/人工呼吸器!$H$3),0)</f>
        <v>0</v>
      </c>
      <c r="F291" s="306">
        <f t="shared" si="75"/>
        <v>0</v>
      </c>
      <c r="G291" s="306">
        <f t="shared" si="76"/>
        <v>0</v>
      </c>
      <c r="H291" s="306">
        <f t="shared" si="77"/>
        <v>0</v>
      </c>
      <c r="I291" s="305">
        <f>IFERROR(SUMIF(簡易陰圧装置!$C$30:$C$74,B291,簡易陰圧装置!$K$30:$K$74)*((簡易陰圧装置!$H$3-簡易陰圧装置!$I$3)/簡易陰圧装置!$H$3),0)</f>
        <v>0</v>
      </c>
      <c r="J291" s="306">
        <f t="shared" si="78"/>
        <v>0</v>
      </c>
      <c r="K291" s="305">
        <f>IFERROR(SUMIF(簡易ベッド!$C$30:$C$74,B291,簡易ベッド!$K$30:$K$74)*((簡易ベッド!$H$3-簡易ベッド!$I$3)/簡易ベッド!$H$3),0)</f>
        <v>0</v>
      </c>
      <c r="L291" s="306">
        <f t="shared" si="79"/>
        <v>0</v>
      </c>
      <c r="M291" s="305">
        <f>IFERROR(SUMIF(体外式膜型人工肺!$C$30:$C$74,B291,体外式膜型人工肺!$K$30:$K$74)*((体外式膜型人工肺!$H$3-体外式膜型人工肺!$I$3)/体外式膜型人工肺!$H$3),0)</f>
        <v>0</v>
      </c>
      <c r="N291" s="306">
        <f t="shared" si="80"/>
        <v>0</v>
      </c>
      <c r="O291" s="306">
        <f t="shared" si="81"/>
        <v>0</v>
      </c>
      <c r="P291" s="306">
        <f t="shared" si="82"/>
        <v>0</v>
      </c>
      <c r="Q291" s="305">
        <f>IFERROR(SUMIF(紫外線照射装置!$C$30:$C$74,B291,紫外線照射装置!$K$30:$K$74)*((紫外線照射装置!$H$3-紫外線照射装置!$I$3)/紫外線照射装置!$H$3),0)</f>
        <v>0</v>
      </c>
      <c r="R291" s="306">
        <f t="shared" si="83"/>
        <v>0</v>
      </c>
      <c r="S291" s="419">
        <f t="shared" si="84"/>
        <v>0</v>
      </c>
      <c r="T291" s="305">
        <f>IFERROR(SUMIF(超音波画像診断装置!$C$30:$C$74,B291,超音波画像診断装置!$K$30:$K$74)*((超音波画像診断装置!$H$3-超音波画像診断装置!$I$3)/超音波画像診断装置!$H$3),0)</f>
        <v>0</v>
      </c>
      <c r="U291" s="306">
        <f t="shared" si="85"/>
        <v>0</v>
      </c>
      <c r="V291" s="305">
        <f>IFERROR(SUMIF(血液浄化装置!$C$30:$C$74,B291,血液浄化装置!$K$30:$K$74)*((血液浄化装置!$H$3-血液浄化装置!$I$3)/血液浄化装置!$H$3),0)</f>
        <v>0</v>
      </c>
      <c r="W291" s="306">
        <f t="shared" si="86"/>
        <v>0</v>
      </c>
      <c r="X291" s="305">
        <f>IFERROR(SUMIF(気管支鏡!$C$30:$C$74,B291,気管支鏡!$K$30:$K$74)*((気管支鏡!$H$3-気管支鏡!$I$3)/気管支鏡!$H$3),0)</f>
        <v>0</v>
      </c>
      <c r="Y291" s="306">
        <f t="shared" si="72"/>
        <v>0</v>
      </c>
      <c r="Z291" s="305">
        <f>IFERROR(SUMIF(CT撮影装置!$C$30:$C$74,B291,CT撮影装置!$K$30:$K$74)*((CT撮影装置!$H$3-CT撮影装置!$I$3)/CT撮影装置!$H$3),0)</f>
        <v>0</v>
      </c>
      <c r="AA291" s="306">
        <f t="shared" si="87"/>
        <v>0</v>
      </c>
      <c r="AB291" s="305">
        <f>IFERROR(SUMIF(生体情報モニタ!$C$30:$C$74,B291,生体情報モニタ!$K$30:$K$74)*((生体情報モニタ!$H$3-生体情報モニタ!$I$3)/生体情報モニタ!$H$3),0)</f>
        <v>0</v>
      </c>
      <c r="AC291" s="306">
        <f t="shared" si="73"/>
        <v>0</v>
      </c>
      <c r="AD291" s="305">
        <f>IFERROR(SUMIF(分娩監視装置!$C$30:$C$74,B291,分娩監視装置!$K$30:$K$74)*((分娩監視装置!$H$3-分娩監視装置!$I$3)/分娩監視装置!$H$3),0)</f>
        <v>0</v>
      </c>
      <c r="AE291" s="306">
        <f t="shared" si="88"/>
        <v>0</v>
      </c>
      <c r="AF291" s="305">
        <f>IFERROR(SUMIF(新生児モニタ!$C$30:$C$74,B291,新生児モニタ!$K$30:$K$74)*((新生児モニタ!$H$3-新生児モニタ!$I$3)/新生児モニタ!$H$3),0)</f>
        <v>0</v>
      </c>
      <c r="AG291" s="306">
        <f t="shared" si="89"/>
        <v>0</v>
      </c>
    </row>
    <row r="292" spans="2:33">
      <c r="B292" s="283" t="s">
        <v>1105</v>
      </c>
      <c r="C292" s="305">
        <f>IFERROR(SUMIF(初度設備!$C$30:$C$74,B292,初度設備!$K$30:$K$74)*((初度設備!$H$3-初度設備!$I$3)/初度設備!$H$3),0)</f>
        <v>0</v>
      </c>
      <c r="D292" s="306">
        <f t="shared" si="74"/>
        <v>0</v>
      </c>
      <c r="E292" s="305">
        <f>IFERROR(SUMIF(人工呼吸器!$C$30:$C$74,B292,人工呼吸器!$K$30:$K$74)*((人工呼吸器!$H$3-人工呼吸器!$I$3)/人工呼吸器!$H$3),0)</f>
        <v>0</v>
      </c>
      <c r="F292" s="306">
        <f t="shared" si="75"/>
        <v>0</v>
      </c>
      <c r="G292" s="306">
        <f t="shared" si="76"/>
        <v>0</v>
      </c>
      <c r="H292" s="306">
        <f t="shared" si="77"/>
        <v>0</v>
      </c>
      <c r="I292" s="305">
        <f>IFERROR(SUMIF(簡易陰圧装置!$C$30:$C$74,B292,簡易陰圧装置!$K$30:$K$74)*((簡易陰圧装置!$H$3-簡易陰圧装置!$I$3)/簡易陰圧装置!$H$3),0)</f>
        <v>0</v>
      </c>
      <c r="J292" s="306">
        <f t="shared" si="78"/>
        <v>0</v>
      </c>
      <c r="K292" s="305">
        <f>IFERROR(SUMIF(簡易ベッド!$C$30:$C$74,B292,簡易ベッド!$K$30:$K$74)*((簡易ベッド!$H$3-簡易ベッド!$I$3)/簡易ベッド!$H$3),0)</f>
        <v>0</v>
      </c>
      <c r="L292" s="306">
        <f t="shared" si="79"/>
        <v>0</v>
      </c>
      <c r="M292" s="305">
        <f>IFERROR(SUMIF(体外式膜型人工肺!$C$30:$C$74,B292,体外式膜型人工肺!$K$30:$K$74)*((体外式膜型人工肺!$H$3-体外式膜型人工肺!$I$3)/体外式膜型人工肺!$H$3),0)</f>
        <v>0</v>
      </c>
      <c r="N292" s="306">
        <f t="shared" si="80"/>
        <v>0</v>
      </c>
      <c r="O292" s="306">
        <f t="shared" si="81"/>
        <v>0</v>
      </c>
      <c r="P292" s="306">
        <f t="shared" si="82"/>
        <v>0</v>
      </c>
      <c r="Q292" s="305">
        <f>IFERROR(SUMIF(紫外線照射装置!$C$30:$C$74,B292,紫外線照射装置!$K$30:$K$74)*((紫外線照射装置!$H$3-紫外線照射装置!$I$3)/紫外線照射装置!$H$3),0)</f>
        <v>0</v>
      </c>
      <c r="R292" s="306">
        <f t="shared" si="83"/>
        <v>0</v>
      </c>
      <c r="S292" s="419">
        <f t="shared" si="84"/>
        <v>0</v>
      </c>
      <c r="T292" s="305">
        <f>IFERROR(SUMIF(超音波画像診断装置!$C$30:$C$74,B292,超音波画像診断装置!$K$30:$K$74)*((超音波画像診断装置!$H$3-超音波画像診断装置!$I$3)/超音波画像診断装置!$H$3),0)</f>
        <v>0</v>
      </c>
      <c r="U292" s="306">
        <f t="shared" si="85"/>
        <v>0</v>
      </c>
      <c r="V292" s="305">
        <f>IFERROR(SUMIF(血液浄化装置!$C$30:$C$74,B292,血液浄化装置!$K$30:$K$74)*((血液浄化装置!$H$3-血液浄化装置!$I$3)/血液浄化装置!$H$3),0)</f>
        <v>0</v>
      </c>
      <c r="W292" s="306">
        <f t="shared" si="86"/>
        <v>0</v>
      </c>
      <c r="X292" s="305">
        <f>IFERROR(SUMIF(気管支鏡!$C$30:$C$74,B292,気管支鏡!$K$30:$K$74)*((気管支鏡!$H$3-気管支鏡!$I$3)/気管支鏡!$H$3),0)</f>
        <v>0</v>
      </c>
      <c r="Y292" s="306">
        <f t="shared" si="72"/>
        <v>0</v>
      </c>
      <c r="Z292" s="305">
        <f>IFERROR(SUMIF(CT撮影装置!$C$30:$C$74,B292,CT撮影装置!$K$30:$K$74)*((CT撮影装置!$H$3-CT撮影装置!$I$3)/CT撮影装置!$H$3),0)</f>
        <v>0</v>
      </c>
      <c r="AA292" s="306">
        <f t="shared" si="87"/>
        <v>0</v>
      </c>
      <c r="AB292" s="305">
        <f>IFERROR(SUMIF(生体情報モニタ!$C$30:$C$74,B292,生体情報モニタ!$K$30:$K$74)*((生体情報モニタ!$H$3-生体情報モニタ!$I$3)/生体情報モニタ!$H$3),0)</f>
        <v>0</v>
      </c>
      <c r="AC292" s="306">
        <f t="shared" si="73"/>
        <v>0</v>
      </c>
      <c r="AD292" s="305">
        <f>IFERROR(SUMIF(分娩監視装置!$C$30:$C$74,B292,分娩監視装置!$K$30:$K$74)*((分娩監視装置!$H$3-分娩監視装置!$I$3)/分娩監視装置!$H$3),0)</f>
        <v>0</v>
      </c>
      <c r="AE292" s="306">
        <f t="shared" si="88"/>
        <v>0</v>
      </c>
      <c r="AF292" s="305">
        <f>IFERROR(SUMIF(新生児モニタ!$C$30:$C$74,B292,新生児モニタ!$K$30:$K$74)*((新生児モニタ!$H$3-新生児モニタ!$I$3)/新生児モニタ!$H$3),0)</f>
        <v>0</v>
      </c>
      <c r="AG292" s="306">
        <f t="shared" si="89"/>
        <v>0</v>
      </c>
    </row>
    <row r="293" spans="2:33">
      <c r="B293" s="283" t="s">
        <v>1106</v>
      </c>
      <c r="C293" s="305">
        <f>IFERROR(SUMIF(初度設備!$C$30:$C$74,B293,初度設備!$K$30:$K$74)*((初度設備!$H$3-初度設備!$I$3)/初度設備!$H$3),0)</f>
        <v>0</v>
      </c>
      <c r="D293" s="306">
        <f t="shared" si="74"/>
        <v>0</v>
      </c>
      <c r="E293" s="305">
        <f>IFERROR(SUMIF(人工呼吸器!$C$30:$C$74,B293,人工呼吸器!$K$30:$K$74)*((人工呼吸器!$H$3-人工呼吸器!$I$3)/人工呼吸器!$H$3),0)</f>
        <v>0</v>
      </c>
      <c r="F293" s="306">
        <f t="shared" si="75"/>
        <v>0</v>
      </c>
      <c r="G293" s="306">
        <f t="shared" si="76"/>
        <v>0</v>
      </c>
      <c r="H293" s="306">
        <f t="shared" si="77"/>
        <v>0</v>
      </c>
      <c r="I293" s="305">
        <f>IFERROR(SUMIF(簡易陰圧装置!$C$30:$C$74,B293,簡易陰圧装置!$K$30:$K$74)*((簡易陰圧装置!$H$3-簡易陰圧装置!$I$3)/簡易陰圧装置!$H$3),0)</f>
        <v>0</v>
      </c>
      <c r="J293" s="306">
        <f t="shared" si="78"/>
        <v>0</v>
      </c>
      <c r="K293" s="305">
        <f>IFERROR(SUMIF(簡易ベッド!$C$30:$C$74,B293,簡易ベッド!$K$30:$K$74)*((簡易ベッド!$H$3-簡易ベッド!$I$3)/簡易ベッド!$H$3),0)</f>
        <v>0</v>
      </c>
      <c r="L293" s="306">
        <f t="shared" si="79"/>
        <v>0</v>
      </c>
      <c r="M293" s="305">
        <f>IFERROR(SUMIF(体外式膜型人工肺!$C$30:$C$74,B293,体外式膜型人工肺!$K$30:$K$74)*((体外式膜型人工肺!$H$3-体外式膜型人工肺!$I$3)/体外式膜型人工肺!$H$3),0)</f>
        <v>0</v>
      </c>
      <c r="N293" s="306">
        <f t="shared" si="80"/>
        <v>0</v>
      </c>
      <c r="O293" s="306">
        <f t="shared" si="81"/>
        <v>0</v>
      </c>
      <c r="P293" s="306">
        <f t="shared" si="82"/>
        <v>0</v>
      </c>
      <c r="Q293" s="305">
        <f>IFERROR(SUMIF(紫外線照射装置!$C$30:$C$74,B293,紫外線照射装置!$K$30:$K$74)*((紫外線照射装置!$H$3-紫外線照射装置!$I$3)/紫外線照射装置!$H$3),0)</f>
        <v>0</v>
      </c>
      <c r="R293" s="306">
        <f t="shared" si="83"/>
        <v>0</v>
      </c>
      <c r="S293" s="419">
        <f t="shared" si="84"/>
        <v>0</v>
      </c>
      <c r="T293" s="305">
        <f>IFERROR(SUMIF(超音波画像診断装置!$C$30:$C$74,B293,超音波画像診断装置!$K$30:$K$74)*((超音波画像診断装置!$H$3-超音波画像診断装置!$I$3)/超音波画像診断装置!$H$3),0)</f>
        <v>0</v>
      </c>
      <c r="U293" s="306">
        <f t="shared" si="85"/>
        <v>0</v>
      </c>
      <c r="V293" s="305">
        <f>IFERROR(SUMIF(血液浄化装置!$C$30:$C$74,B293,血液浄化装置!$K$30:$K$74)*((血液浄化装置!$H$3-血液浄化装置!$I$3)/血液浄化装置!$H$3),0)</f>
        <v>0</v>
      </c>
      <c r="W293" s="306">
        <f t="shared" si="86"/>
        <v>0</v>
      </c>
      <c r="X293" s="305">
        <f>IFERROR(SUMIF(気管支鏡!$C$30:$C$74,B293,気管支鏡!$K$30:$K$74)*((気管支鏡!$H$3-気管支鏡!$I$3)/気管支鏡!$H$3),0)</f>
        <v>0</v>
      </c>
      <c r="Y293" s="306">
        <f t="shared" si="72"/>
        <v>0</v>
      </c>
      <c r="Z293" s="305">
        <f>IFERROR(SUMIF(CT撮影装置!$C$30:$C$74,B293,CT撮影装置!$K$30:$K$74)*((CT撮影装置!$H$3-CT撮影装置!$I$3)/CT撮影装置!$H$3),0)</f>
        <v>0</v>
      </c>
      <c r="AA293" s="306">
        <f t="shared" si="87"/>
        <v>0</v>
      </c>
      <c r="AB293" s="305">
        <f>IFERROR(SUMIF(生体情報モニタ!$C$30:$C$74,B293,生体情報モニタ!$K$30:$K$74)*((生体情報モニタ!$H$3-生体情報モニタ!$I$3)/生体情報モニタ!$H$3),0)</f>
        <v>0</v>
      </c>
      <c r="AC293" s="306">
        <f t="shared" si="73"/>
        <v>0</v>
      </c>
      <c r="AD293" s="305">
        <f>IFERROR(SUMIF(分娩監視装置!$C$30:$C$74,B293,分娩監視装置!$K$30:$K$74)*((分娩監視装置!$H$3-分娩監視装置!$I$3)/分娩監視装置!$H$3),0)</f>
        <v>0</v>
      </c>
      <c r="AE293" s="306">
        <f t="shared" si="88"/>
        <v>0</v>
      </c>
      <c r="AF293" s="305">
        <f>IFERROR(SUMIF(新生児モニタ!$C$30:$C$74,B293,新生児モニタ!$K$30:$K$74)*((新生児モニタ!$H$3-新生児モニタ!$I$3)/新生児モニタ!$H$3),0)</f>
        <v>0</v>
      </c>
      <c r="AG293" s="306">
        <f t="shared" si="89"/>
        <v>0</v>
      </c>
    </row>
    <row r="294" spans="2:33">
      <c r="B294" s="283" t="s">
        <v>1107</v>
      </c>
      <c r="C294" s="305">
        <f>IFERROR(SUMIF(初度設備!$C$30:$C$74,B294,初度設備!$K$30:$K$74)*((初度設備!$H$3-初度設備!$I$3)/初度設備!$H$3),0)</f>
        <v>0</v>
      </c>
      <c r="D294" s="306">
        <f t="shared" si="74"/>
        <v>0</v>
      </c>
      <c r="E294" s="305">
        <f>IFERROR(SUMIF(人工呼吸器!$C$30:$C$74,B294,人工呼吸器!$K$30:$K$74)*((人工呼吸器!$H$3-人工呼吸器!$I$3)/人工呼吸器!$H$3),0)</f>
        <v>0</v>
      </c>
      <c r="F294" s="306">
        <f t="shared" si="75"/>
        <v>0</v>
      </c>
      <c r="G294" s="306">
        <f t="shared" si="76"/>
        <v>0</v>
      </c>
      <c r="H294" s="306">
        <f t="shared" si="77"/>
        <v>0</v>
      </c>
      <c r="I294" s="305">
        <f>IFERROR(SUMIF(簡易陰圧装置!$C$30:$C$74,B294,簡易陰圧装置!$K$30:$K$74)*((簡易陰圧装置!$H$3-簡易陰圧装置!$I$3)/簡易陰圧装置!$H$3),0)</f>
        <v>0</v>
      </c>
      <c r="J294" s="306">
        <f t="shared" si="78"/>
        <v>0</v>
      </c>
      <c r="K294" s="305">
        <f>IFERROR(SUMIF(簡易ベッド!$C$30:$C$74,B294,簡易ベッド!$K$30:$K$74)*((簡易ベッド!$H$3-簡易ベッド!$I$3)/簡易ベッド!$H$3),0)</f>
        <v>0</v>
      </c>
      <c r="L294" s="306">
        <f t="shared" si="79"/>
        <v>0</v>
      </c>
      <c r="M294" s="305">
        <f>IFERROR(SUMIF(体外式膜型人工肺!$C$30:$C$74,B294,体外式膜型人工肺!$K$30:$K$74)*((体外式膜型人工肺!$H$3-体外式膜型人工肺!$I$3)/体外式膜型人工肺!$H$3),0)</f>
        <v>0</v>
      </c>
      <c r="N294" s="306">
        <f t="shared" si="80"/>
        <v>0</v>
      </c>
      <c r="O294" s="306">
        <f t="shared" si="81"/>
        <v>0</v>
      </c>
      <c r="P294" s="306">
        <f t="shared" si="82"/>
        <v>0</v>
      </c>
      <c r="Q294" s="305">
        <f>IFERROR(SUMIF(紫外線照射装置!$C$30:$C$74,B294,紫外線照射装置!$K$30:$K$74)*((紫外線照射装置!$H$3-紫外線照射装置!$I$3)/紫外線照射装置!$H$3),0)</f>
        <v>0</v>
      </c>
      <c r="R294" s="306">
        <f t="shared" si="83"/>
        <v>0</v>
      </c>
      <c r="S294" s="419">
        <f t="shared" si="84"/>
        <v>0</v>
      </c>
      <c r="T294" s="305">
        <f>IFERROR(SUMIF(超音波画像診断装置!$C$30:$C$74,B294,超音波画像診断装置!$K$30:$K$74)*((超音波画像診断装置!$H$3-超音波画像診断装置!$I$3)/超音波画像診断装置!$H$3),0)</f>
        <v>0</v>
      </c>
      <c r="U294" s="306">
        <f t="shared" si="85"/>
        <v>0</v>
      </c>
      <c r="V294" s="305">
        <f>IFERROR(SUMIF(血液浄化装置!$C$30:$C$74,B294,血液浄化装置!$K$30:$K$74)*((血液浄化装置!$H$3-血液浄化装置!$I$3)/血液浄化装置!$H$3),0)</f>
        <v>0</v>
      </c>
      <c r="W294" s="306">
        <f t="shared" si="86"/>
        <v>0</v>
      </c>
      <c r="X294" s="305">
        <f>IFERROR(SUMIF(気管支鏡!$C$30:$C$74,B294,気管支鏡!$K$30:$K$74)*((気管支鏡!$H$3-気管支鏡!$I$3)/気管支鏡!$H$3),0)</f>
        <v>0</v>
      </c>
      <c r="Y294" s="306">
        <f t="shared" si="72"/>
        <v>0</v>
      </c>
      <c r="Z294" s="305">
        <f>IFERROR(SUMIF(CT撮影装置!$C$30:$C$74,B294,CT撮影装置!$K$30:$K$74)*((CT撮影装置!$H$3-CT撮影装置!$I$3)/CT撮影装置!$H$3),0)</f>
        <v>0</v>
      </c>
      <c r="AA294" s="306">
        <f t="shared" si="87"/>
        <v>0</v>
      </c>
      <c r="AB294" s="305">
        <f>IFERROR(SUMIF(生体情報モニタ!$C$30:$C$74,B294,生体情報モニタ!$K$30:$K$74)*((生体情報モニタ!$H$3-生体情報モニタ!$I$3)/生体情報モニタ!$H$3),0)</f>
        <v>0</v>
      </c>
      <c r="AC294" s="306">
        <f t="shared" si="73"/>
        <v>0</v>
      </c>
      <c r="AD294" s="305">
        <f>IFERROR(SUMIF(分娩監視装置!$C$30:$C$74,B294,分娩監視装置!$K$30:$K$74)*((分娩監視装置!$H$3-分娩監視装置!$I$3)/分娩監視装置!$H$3),0)</f>
        <v>0</v>
      </c>
      <c r="AE294" s="306">
        <f t="shared" si="88"/>
        <v>0</v>
      </c>
      <c r="AF294" s="305">
        <f>IFERROR(SUMIF(新生児モニタ!$C$30:$C$74,B294,新生児モニタ!$K$30:$K$74)*((新生児モニタ!$H$3-新生児モニタ!$I$3)/新生児モニタ!$H$3),0)</f>
        <v>0</v>
      </c>
      <c r="AG294" s="306">
        <f t="shared" si="89"/>
        <v>0</v>
      </c>
    </row>
    <row r="295" spans="2:33">
      <c r="B295" s="283" t="s">
        <v>1108</v>
      </c>
      <c r="C295" s="305">
        <f>IFERROR(SUMIF(初度設備!$C$30:$C$74,B295,初度設備!$K$30:$K$74)*((初度設備!$H$3-初度設備!$I$3)/初度設備!$H$3),0)</f>
        <v>0</v>
      </c>
      <c r="D295" s="306">
        <f t="shared" si="74"/>
        <v>0</v>
      </c>
      <c r="E295" s="305">
        <f>IFERROR(SUMIF(人工呼吸器!$C$30:$C$74,B295,人工呼吸器!$K$30:$K$74)*((人工呼吸器!$H$3-人工呼吸器!$I$3)/人工呼吸器!$H$3),0)</f>
        <v>0</v>
      </c>
      <c r="F295" s="306">
        <f t="shared" si="75"/>
        <v>0</v>
      </c>
      <c r="G295" s="306">
        <f t="shared" si="76"/>
        <v>0</v>
      </c>
      <c r="H295" s="306">
        <f t="shared" si="77"/>
        <v>0</v>
      </c>
      <c r="I295" s="305">
        <f>IFERROR(SUMIF(簡易陰圧装置!$C$30:$C$74,B295,簡易陰圧装置!$K$30:$K$74)*((簡易陰圧装置!$H$3-簡易陰圧装置!$I$3)/簡易陰圧装置!$H$3),0)</f>
        <v>0</v>
      </c>
      <c r="J295" s="306">
        <f t="shared" si="78"/>
        <v>0</v>
      </c>
      <c r="K295" s="305">
        <f>IFERROR(SUMIF(簡易ベッド!$C$30:$C$74,B295,簡易ベッド!$K$30:$K$74)*((簡易ベッド!$H$3-簡易ベッド!$I$3)/簡易ベッド!$H$3),0)</f>
        <v>0</v>
      </c>
      <c r="L295" s="306">
        <f t="shared" si="79"/>
        <v>0</v>
      </c>
      <c r="M295" s="305">
        <f>IFERROR(SUMIF(体外式膜型人工肺!$C$30:$C$74,B295,体外式膜型人工肺!$K$30:$K$74)*((体外式膜型人工肺!$H$3-体外式膜型人工肺!$I$3)/体外式膜型人工肺!$H$3),0)</f>
        <v>0</v>
      </c>
      <c r="N295" s="306">
        <f t="shared" si="80"/>
        <v>0</v>
      </c>
      <c r="O295" s="306">
        <f t="shared" si="81"/>
        <v>0</v>
      </c>
      <c r="P295" s="306">
        <f t="shared" si="82"/>
        <v>0</v>
      </c>
      <c r="Q295" s="305">
        <f>IFERROR(SUMIF(紫外線照射装置!$C$30:$C$74,B295,紫外線照射装置!$K$30:$K$74)*((紫外線照射装置!$H$3-紫外線照射装置!$I$3)/紫外線照射装置!$H$3),0)</f>
        <v>0</v>
      </c>
      <c r="R295" s="306">
        <f t="shared" si="83"/>
        <v>0</v>
      </c>
      <c r="S295" s="419">
        <f t="shared" si="84"/>
        <v>0</v>
      </c>
      <c r="T295" s="305">
        <f>IFERROR(SUMIF(超音波画像診断装置!$C$30:$C$74,B295,超音波画像診断装置!$K$30:$K$74)*((超音波画像診断装置!$H$3-超音波画像診断装置!$I$3)/超音波画像診断装置!$H$3),0)</f>
        <v>0</v>
      </c>
      <c r="U295" s="306">
        <f t="shared" si="85"/>
        <v>0</v>
      </c>
      <c r="V295" s="305">
        <f>IFERROR(SUMIF(血液浄化装置!$C$30:$C$74,B295,血液浄化装置!$K$30:$K$74)*((血液浄化装置!$H$3-血液浄化装置!$I$3)/血液浄化装置!$H$3),0)</f>
        <v>0</v>
      </c>
      <c r="W295" s="306">
        <f t="shared" si="86"/>
        <v>0</v>
      </c>
      <c r="X295" s="305">
        <f>IFERROR(SUMIF(気管支鏡!$C$30:$C$74,B295,気管支鏡!$K$30:$K$74)*((気管支鏡!$H$3-気管支鏡!$I$3)/気管支鏡!$H$3),0)</f>
        <v>0</v>
      </c>
      <c r="Y295" s="306">
        <f t="shared" si="72"/>
        <v>0</v>
      </c>
      <c r="Z295" s="305">
        <f>IFERROR(SUMIF(CT撮影装置!$C$30:$C$74,B295,CT撮影装置!$K$30:$K$74)*((CT撮影装置!$H$3-CT撮影装置!$I$3)/CT撮影装置!$H$3),0)</f>
        <v>0</v>
      </c>
      <c r="AA295" s="306">
        <f t="shared" si="87"/>
        <v>0</v>
      </c>
      <c r="AB295" s="305">
        <f>IFERROR(SUMIF(生体情報モニタ!$C$30:$C$74,B295,生体情報モニタ!$K$30:$K$74)*((生体情報モニタ!$H$3-生体情報モニタ!$I$3)/生体情報モニタ!$H$3),0)</f>
        <v>0</v>
      </c>
      <c r="AC295" s="306">
        <f t="shared" si="73"/>
        <v>0</v>
      </c>
      <c r="AD295" s="305">
        <f>IFERROR(SUMIF(分娩監視装置!$C$30:$C$74,B295,分娩監視装置!$K$30:$K$74)*((分娩監視装置!$H$3-分娩監視装置!$I$3)/分娩監視装置!$H$3),0)</f>
        <v>0</v>
      </c>
      <c r="AE295" s="306">
        <f t="shared" si="88"/>
        <v>0</v>
      </c>
      <c r="AF295" s="305">
        <f>IFERROR(SUMIF(新生児モニタ!$C$30:$C$74,B295,新生児モニタ!$K$30:$K$74)*((新生児モニタ!$H$3-新生児モニタ!$I$3)/新生児モニタ!$H$3),0)</f>
        <v>0</v>
      </c>
      <c r="AG295" s="306">
        <f t="shared" si="89"/>
        <v>0</v>
      </c>
    </row>
    <row r="296" spans="2:33">
      <c r="B296" s="283" t="s">
        <v>1109</v>
      </c>
      <c r="C296" s="305">
        <f>IFERROR(SUMIF(初度設備!$C$30:$C$74,B296,初度設備!$K$30:$K$74)*((初度設備!$H$3-初度設備!$I$3)/初度設備!$H$3),0)</f>
        <v>0</v>
      </c>
      <c r="D296" s="306">
        <f t="shared" si="74"/>
        <v>0</v>
      </c>
      <c r="E296" s="305">
        <f>IFERROR(SUMIF(人工呼吸器!$C$30:$C$74,B296,人工呼吸器!$K$30:$K$74)*((人工呼吸器!$H$3-人工呼吸器!$I$3)/人工呼吸器!$H$3),0)</f>
        <v>0</v>
      </c>
      <c r="F296" s="306">
        <f t="shared" si="75"/>
        <v>0</v>
      </c>
      <c r="G296" s="306">
        <f t="shared" si="76"/>
        <v>0</v>
      </c>
      <c r="H296" s="306">
        <f t="shared" si="77"/>
        <v>0</v>
      </c>
      <c r="I296" s="305">
        <f>IFERROR(SUMIF(簡易陰圧装置!$C$30:$C$74,B296,簡易陰圧装置!$K$30:$K$74)*((簡易陰圧装置!$H$3-簡易陰圧装置!$I$3)/簡易陰圧装置!$H$3),0)</f>
        <v>0</v>
      </c>
      <c r="J296" s="306">
        <f t="shared" si="78"/>
        <v>0</v>
      </c>
      <c r="K296" s="305">
        <f>IFERROR(SUMIF(簡易ベッド!$C$30:$C$74,B296,簡易ベッド!$K$30:$K$74)*((簡易ベッド!$H$3-簡易ベッド!$I$3)/簡易ベッド!$H$3),0)</f>
        <v>0</v>
      </c>
      <c r="L296" s="306">
        <f t="shared" si="79"/>
        <v>0</v>
      </c>
      <c r="M296" s="305">
        <f>IFERROR(SUMIF(体外式膜型人工肺!$C$30:$C$74,B296,体外式膜型人工肺!$K$30:$K$74)*((体外式膜型人工肺!$H$3-体外式膜型人工肺!$I$3)/体外式膜型人工肺!$H$3),0)</f>
        <v>0</v>
      </c>
      <c r="N296" s="306">
        <f t="shared" si="80"/>
        <v>0</v>
      </c>
      <c r="O296" s="306">
        <f t="shared" si="81"/>
        <v>0</v>
      </c>
      <c r="P296" s="306">
        <f t="shared" si="82"/>
        <v>0</v>
      </c>
      <c r="Q296" s="305">
        <f>IFERROR(SUMIF(紫外線照射装置!$C$30:$C$74,B296,紫外線照射装置!$K$30:$K$74)*((紫外線照射装置!$H$3-紫外線照射装置!$I$3)/紫外線照射装置!$H$3),0)</f>
        <v>0</v>
      </c>
      <c r="R296" s="306">
        <f t="shared" si="83"/>
        <v>0</v>
      </c>
      <c r="S296" s="419">
        <f t="shared" si="84"/>
        <v>0</v>
      </c>
      <c r="T296" s="305">
        <f>IFERROR(SUMIF(超音波画像診断装置!$C$30:$C$74,B296,超音波画像診断装置!$K$30:$K$74)*((超音波画像診断装置!$H$3-超音波画像診断装置!$I$3)/超音波画像診断装置!$H$3),0)</f>
        <v>0</v>
      </c>
      <c r="U296" s="306">
        <f t="shared" si="85"/>
        <v>0</v>
      </c>
      <c r="V296" s="305">
        <f>IFERROR(SUMIF(血液浄化装置!$C$30:$C$74,B296,血液浄化装置!$K$30:$K$74)*((血液浄化装置!$H$3-血液浄化装置!$I$3)/血液浄化装置!$H$3),0)</f>
        <v>0</v>
      </c>
      <c r="W296" s="306">
        <f t="shared" si="86"/>
        <v>0</v>
      </c>
      <c r="X296" s="305">
        <f>IFERROR(SUMIF(気管支鏡!$C$30:$C$74,B296,気管支鏡!$K$30:$K$74)*((気管支鏡!$H$3-気管支鏡!$I$3)/気管支鏡!$H$3),0)</f>
        <v>0</v>
      </c>
      <c r="Y296" s="306">
        <f t="shared" si="72"/>
        <v>0</v>
      </c>
      <c r="Z296" s="305">
        <f>IFERROR(SUMIF(CT撮影装置!$C$30:$C$74,B296,CT撮影装置!$K$30:$K$74)*((CT撮影装置!$H$3-CT撮影装置!$I$3)/CT撮影装置!$H$3),0)</f>
        <v>0</v>
      </c>
      <c r="AA296" s="306">
        <f t="shared" si="87"/>
        <v>0</v>
      </c>
      <c r="AB296" s="305">
        <f>IFERROR(SUMIF(生体情報モニタ!$C$30:$C$74,B296,生体情報モニタ!$K$30:$K$74)*((生体情報モニタ!$H$3-生体情報モニタ!$I$3)/生体情報モニタ!$H$3),0)</f>
        <v>0</v>
      </c>
      <c r="AC296" s="306">
        <f t="shared" si="73"/>
        <v>0</v>
      </c>
      <c r="AD296" s="305">
        <f>IFERROR(SUMIF(分娩監視装置!$C$30:$C$74,B296,分娩監視装置!$K$30:$K$74)*((分娩監視装置!$H$3-分娩監視装置!$I$3)/分娩監視装置!$H$3),0)</f>
        <v>0</v>
      </c>
      <c r="AE296" s="306">
        <f t="shared" si="88"/>
        <v>0</v>
      </c>
      <c r="AF296" s="305">
        <f>IFERROR(SUMIF(新生児モニタ!$C$30:$C$74,B296,新生児モニタ!$K$30:$K$74)*((新生児モニタ!$H$3-新生児モニタ!$I$3)/新生児モニタ!$H$3),0)</f>
        <v>0</v>
      </c>
      <c r="AG296" s="306">
        <f t="shared" si="89"/>
        <v>0</v>
      </c>
    </row>
    <row r="297" spans="2:33">
      <c r="B297" s="283" t="s">
        <v>1110</v>
      </c>
      <c r="C297" s="305">
        <f>IFERROR(SUMIF(初度設備!$C$30:$C$74,B297,初度設備!$K$30:$K$74)*((初度設備!$H$3-初度設備!$I$3)/初度設備!$H$3),0)</f>
        <v>0</v>
      </c>
      <c r="D297" s="306">
        <f t="shared" si="74"/>
        <v>0</v>
      </c>
      <c r="E297" s="305">
        <f>IFERROR(SUMIF(人工呼吸器!$C$30:$C$74,B297,人工呼吸器!$K$30:$K$74)*((人工呼吸器!$H$3-人工呼吸器!$I$3)/人工呼吸器!$H$3),0)</f>
        <v>0</v>
      </c>
      <c r="F297" s="306">
        <f t="shared" si="75"/>
        <v>0</v>
      </c>
      <c r="G297" s="306">
        <f t="shared" si="76"/>
        <v>0</v>
      </c>
      <c r="H297" s="306">
        <f t="shared" si="77"/>
        <v>0</v>
      </c>
      <c r="I297" s="305">
        <f>IFERROR(SUMIF(簡易陰圧装置!$C$30:$C$74,B297,簡易陰圧装置!$K$30:$K$74)*((簡易陰圧装置!$H$3-簡易陰圧装置!$I$3)/簡易陰圧装置!$H$3),0)</f>
        <v>0</v>
      </c>
      <c r="J297" s="306">
        <f t="shared" si="78"/>
        <v>0</v>
      </c>
      <c r="K297" s="305">
        <f>IFERROR(SUMIF(簡易ベッド!$C$30:$C$74,B297,簡易ベッド!$K$30:$K$74)*((簡易ベッド!$H$3-簡易ベッド!$I$3)/簡易ベッド!$H$3),0)</f>
        <v>0</v>
      </c>
      <c r="L297" s="306">
        <f t="shared" si="79"/>
        <v>0</v>
      </c>
      <c r="M297" s="305">
        <f>IFERROR(SUMIF(体外式膜型人工肺!$C$30:$C$74,B297,体外式膜型人工肺!$K$30:$K$74)*((体外式膜型人工肺!$H$3-体外式膜型人工肺!$I$3)/体外式膜型人工肺!$H$3),0)</f>
        <v>0</v>
      </c>
      <c r="N297" s="306">
        <f t="shared" si="80"/>
        <v>0</v>
      </c>
      <c r="O297" s="306">
        <f t="shared" si="81"/>
        <v>0</v>
      </c>
      <c r="P297" s="306">
        <f t="shared" si="82"/>
        <v>0</v>
      </c>
      <c r="Q297" s="305">
        <f>IFERROR(SUMIF(紫外線照射装置!$C$30:$C$74,B297,紫外線照射装置!$K$30:$K$74)*((紫外線照射装置!$H$3-紫外線照射装置!$I$3)/紫外線照射装置!$H$3),0)</f>
        <v>0</v>
      </c>
      <c r="R297" s="306">
        <f t="shared" si="83"/>
        <v>0</v>
      </c>
      <c r="S297" s="419">
        <f t="shared" si="84"/>
        <v>0</v>
      </c>
      <c r="T297" s="305">
        <f>IFERROR(SUMIF(超音波画像診断装置!$C$30:$C$74,B297,超音波画像診断装置!$K$30:$K$74)*((超音波画像診断装置!$H$3-超音波画像診断装置!$I$3)/超音波画像診断装置!$H$3),0)</f>
        <v>0</v>
      </c>
      <c r="U297" s="306">
        <f t="shared" si="85"/>
        <v>0</v>
      </c>
      <c r="V297" s="305">
        <f>IFERROR(SUMIF(血液浄化装置!$C$30:$C$74,B297,血液浄化装置!$K$30:$K$74)*((血液浄化装置!$H$3-血液浄化装置!$I$3)/血液浄化装置!$H$3),0)</f>
        <v>0</v>
      </c>
      <c r="W297" s="306">
        <f t="shared" si="86"/>
        <v>0</v>
      </c>
      <c r="X297" s="305">
        <f>IFERROR(SUMIF(気管支鏡!$C$30:$C$74,B297,気管支鏡!$K$30:$K$74)*((気管支鏡!$H$3-気管支鏡!$I$3)/気管支鏡!$H$3),0)</f>
        <v>0</v>
      </c>
      <c r="Y297" s="306">
        <f t="shared" si="72"/>
        <v>0</v>
      </c>
      <c r="Z297" s="305">
        <f>IFERROR(SUMIF(CT撮影装置!$C$30:$C$74,B297,CT撮影装置!$K$30:$K$74)*((CT撮影装置!$H$3-CT撮影装置!$I$3)/CT撮影装置!$H$3),0)</f>
        <v>0</v>
      </c>
      <c r="AA297" s="306">
        <f t="shared" si="87"/>
        <v>0</v>
      </c>
      <c r="AB297" s="305">
        <f>IFERROR(SUMIF(生体情報モニタ!$C$30:$C$74,B297,生体情報モニタ!$K$30:$K$74)*((生体情報モニタ!$H$3-生体情報モニタ!$I$3)/生体情報モニタ!$H$3),0)</f>
        <v>0</v>
      </c>
      <c r="AC297" s="306">
        <f t="shared" si="73"/>
        <v>0</v>
      </c>
      <c r="AD297" s="305">
        <f>IFERROR(SUMIF(分娩監視装置!$C$30:$C$74,B297,分娩監視装置!$K$30:$K$74)*((分娩監視装置!$H$3-分娩監視装置!$I$3)/分娩監視装置!$H$3),0)</f>
        <v>0</v>
      </c>
      <c r="AE297" s="306">
        <f t="shared" si="88"/>
        <v>0</v>
      </c>
      <c r="AF297" s="305">
        <f>IFERROR(SUMIF(新生児モニタ!$C$30:$C$74,B297,新生児モニタ!$K$30:$K$74)*((新生児モニタ!$H$3-新生児モニタ!$I$3)/新生児モニタ!$H$3),0)</f>
        <v>0</v>
      </c>
      <c r="AG297" s="306">
        <f t="shared" si="89"/>
        <v>0</v>
      </c>
    </row>
    <row r="298" spans="2:33">
      <c r="B298" s="283" t="s">
        <v>1111</v>
      </c>
      <c r="C298" s="305">
        <f>IFERROR(SUMIF(初度設備!$C$30:$C$74,B298,初度設備!$K$30:$K$74)*((初度設備!$H$3-初度設備!$I$3)/初度設備!$H$3),0)</f>
        <v>0</v>
      </c>
      <c r="D298" s="306">
        <f t="shared" si="74"/>
        <v>0</v>
      </c>
      <c r="E298" s="305">
        <f>IFERROR(SUMIF(人工呼吸器!$C$30:$C$74,B298,人工呼吸器!$K$30:$K$74)*((人工呼吸器!$H$3-人工呼吸器!$I$3)/人工呼吸器!$H$3),0)</f>
        <v>0</v>
      </c>
      <c r="F298" s="306">
        <f t="shared" si="75"/>
        <v>0</v>
      </c>
      <c r="G298" s="306">
        <f t="shared" si="76"/>
        <v>0</v>
      </c>
      <c r="H298" s="306">
        <f t="shared" si="77"/>
        <v>0</v>
      </c>
      <c r="I298" s="305">
        <f>IFERROR(SUMIF(簡易陰圧装置!$C$30:$C$74,B298,簡易陰圧装置!$K$30:$K$74)*((簡易陰圧装置!$H$3-簡易陰圧装置!$I$3)/簡易陰圧装置!$H$3),0)</f>
        <v>0</v>
      </c>
      <c r="J298" s="306">
        <f t="shared" si="78"/>
        <v>0</v>
      </c>
      <c r="K298" s="305">
        <f>IFERROR(SUMIF(簡易ベッド!$C$30:$C$74,B298,簡易ベッド!$K$30:$K$74)*((簡易ベッド!$H$3-簡易ベッド!$I$3)/簡易ベッド!$H$3),0)</f>
        <v>0</v>
      </c>
      <c r="L298" s="306">
        <f t="shared" si="79"/>
        <v>0</v>
      </c>
      <c r="M298" s="305">
        <f>IFERROR(SUMIF(体外式膜型人工肺!$C$30:$C$74,B298,体外式膜型人工肺!$K$30:$K$74)*((体外式膜型人工肺!$H$3-体外式膜型人工肺!$I$3)/体外式膜型人工肺!$H$3),0)</f>
        <v>0</v>
      </c>
      <c r="N298" s="306">
        <f t="shared" si="80"/>
        <v>0</v>
      </c>
      <c r="O298" s="306">
        <f t="shared" si="81"/>
        <v>0</v>
      </c>
      <c r="P298" s="306">
        <f t="shared" si="82"/>
        <v>0</v>
      </c>
      <c r="Q298" s="305">
        <f>IFERROR(SUMIF(紫外線照射装置!$C$30:$C$74,B298,紫外線照射装置!$K$30:$K$74)*((紫外線照射装置!$H$3-紫外線照射装置!$I$3)/紫外線照射装置!$H$3),0)</f>
        <v>0</v>
      </c>
      <c r="R298" s="306">
        <f t="shared" si="83"/>
        <v>0</v>
      </c>
      <c r="S298" s="419">
        <f t="shared" si="84"/>
        <v>0</v>
      </c>
      <c r="T298" s="305">
        <f>IFERROR(SUMIF(超音波画像診断装置!$C$30:$C$74,B298,超音波画像診断装置!$K$30:$K$74)*((超音波画像診断装置!$H$3-超音波画像診断装置!$I$3)/超音波画像診断装置!$H$3),0)</f>
        <v>0</v>
      </c>
      <c r="U298" s="306">
        <f t="shared" si="85"/>
        <v>0</v>
      </c>
      <c r="V298" s="305">
        <f>IFERROR(SUMIF(血液浄化装置!$C$30:$C$74,B298,血液浄化装置!$K$30:$K$74)*((血液浄化装置!$H$3-血液浄化装置!$I$3)/血液浄化装置!$H$3),0)</f>
        <v>0</v>
      </c>
      <c r="W298" s="306">
        <f t="shared" si="86"/>
        <v>0</v>
      </c>
      <c r="X298" s="305">
        <f>IFERROR(SUMIF(気管支鏡!$C$30:$C$74,B298,気管支鏡!$K$30:$K$74)*((気管支鏡!$H$3-気管支鏡!$I$3)/気管支鏡!$H$3),0)</f>
        <v>0</v>
      </c>
      <c r="Y298" s="306">
        <f t="shared" si="72"/>
        <v>0</v>
      </c>
      <c r="Z298" s="305">
        <f>IFERROR(SUMIF(CT撮影装置!$C$30:$C$74,B298,CT撮影装置!$K$30:$K$74)*((CT撮影装置!$H$3-CT撮影装置!$I$3)/CT撮影装置!$H$3),0)</f>
        <v>0</v>
      </c>
      <c r="AA298" s="306">
        <f t="shared" si="87"/>
        <v>0</v>
      </c>
      <c r="AB298" s="305">
        <f>IFERROR(SUMIF(生体情報モニタ!$C$30:$C$74,B298,生体情報モニタ!$K$30:$K$74)*((生体情報モニタ!$H$3-生体情報モニタ!$I$3)/生体情報モニタ!$H$3),0)</f>
        <v>0</v>
      </c>
      <c r="AC298" s="306">
        <f t="shared" si="73"/>
        <v>0</v>
      </c>
      <c r="AD298" s="305">
        <f>IFERROR(SUMIF(分娩監視装置!$C$30:$C$74,B298,分娩監視装置!$K$30:$K$74)*((分娩監視装置!$H$3-分娩監視装置!$I$3)/分娩監視装置!$H$3),0)</f>
        <v>0</v>
      </c>
      <c r="AE298" s="306">
        <f t="shared" si="88"/>
        <v>0</v>
      </c>
      <c r="AF298" s="305">
        <f>IFERROR(SUMIF(新生児モニタ!$C$30:$C$74,B298,新生児モニタ!$K$30:$K$74)*((新生児モニタ!$H$3-新生児モニタ!$I$3)/新生児モニタ!$H$3),0)</f>
        <v>0</v>
      </c>
      <c r="AG298" s="306">
        <f t="shared" si="89"/>
        <v>0</v>
      </c>
    </row>
    <row r="299" spans="2:33">
      <c r="B299" s="283" t="s">
        <v>1112</v>
      </c>
      <c r="C299" s="305">
        <f>IFERROR(SUMIF(初度設備!$C$30:$C$74,B299,初度設備!$K$30:$K$74)*((初度設備!$H$3-初度設備!$I$3)/初度設備!$H$3),0)</f>
        <v>0</v>
      </c>
      <c r="D299" s="306">
        <f t="shared" si="74"/>
        <v>0</v>
      </c>
      <c r="E299" s="305">
        <f>IFERROR(SUMIF(人工呼吸器!$C$30:$C$74,B299,人工呼吸器!$K$30:$K$74)*((人工呼吸器!$H$3-人工呼吸器!$I$3)/人工呼吸器!$H$3),0)</f>
        <v>0</v>
      </c>
      <c r="F299" s="306">
        <f t="shared" si="75"/>
        <v>0</v>
      </c>
      <c r="G299" s="306">
        <f t="shared" si="76"/>
        <v>0</v>
      </c>
      <c r="H299" s="306">
        <f t="shared" si="77"/>
        <v>0</v>
      </c>
      <c r="I299" s="305">
        <f>IFERROR(SUMIF(簡易陰圧装置!$C$30:$C$74,B299,簡易陰圧装置!$K$30:$K$74)*((簡易陰圧装置!$H$3-簡易陰圧装置!$I$3)/簡易陰圧装置!$H$3),0)</f>
        <v>0</v>
      </c>
      <c r="J299" s="306">
        <f t="shared" si="78"/>
        <v>0</v>
      </c>
      <c r="K299" s="305">
        <f>IFERROR(SUMIF(簡易ベッド!$C$30:$C$74,B299,簡易ベッド!$K$30:$K$74)*((簡易ベッド!$H$3-簡易ベッド!$I$3)/簡易ベッド!$H$3),0)</f>
        <v>0</v>
      </c>
      <c r="L299" s="306">
        <f t="shared" si="79"/>
        <v>0</v>
      </c>
      <c r="M299" s="305">
        <f>IFERROR(SUMIF(体外式膜型人工肺!$C$30:$C$74,B299,体外式膜型人工肺!$K$30:$K$74)*((体外式膜型人工肺!$H$3-体外式膜型人工肺!$I$3)/体外式膜型人工肺!$H$3),0)</f>
        <v>0</v>
      </c>
      <c r="N299" s="306">
        <f t="shared" si="80"/>
        <v>0</v>
      </c>
      <c r="O299" s="306">
        <f t="shared" si="81"/>
        <v>0</v>
      </c>
      <c r="P299" s="306">
        <f t="shared" si="82"/>
        <v>0</v>
      </c>
      <c r="Q299" s="305">
        <f>IFERROR(SUMIF(紫外線照射装置!$C$30:$C$74,B299,紫外線照射装置!$K$30:$K$74)*((紫外線照射装置!$H$3-紫外線照射装置!$I$3)/紫外線照射装置!$H$3),0)</f>
        <v>0</v>
      </c>
      <c r="R299" s="306">
        <f t="shared" si="83"/>
        <v>0</v>
      </c>
      <c r="S299" s="419">
        <f t="shared" si="84"/>
        <v>0</v>
      </c>
      <c r="T299" s="305">
        <f>IFERROR(SUMIF(超音波画像診断装置!$C$30:$C$74,B299,超音波画像診断装置!$K$30:$K$74)*((超音波画像診断装置!$H$3-超音波画像診断装置!$I$3)/超音波画像診断装置!$H$3),0)</f>
        <v>0</v>
      </c>
      <c r="U299" s="306">
        <f t="shared" si="85"/>
        <v>0</v>
      </c>
      <c r="V299" s="305">
        <f>IFERROR(SUMIF(血液浄化装置!$C$30:$C$74,B299,血液浄化装置!$K$30:$K$74)*((血液浄化装置!$H$3-血液浄化装置!$I$3)/血液浄化装置!$H$3),0)</f>
        <v>0</v>
      </c>
      <c r="W299" s="306">
        <f t="shared" si="86"/>
        <v>0</v>
      </c>
      <c r="X299" s="305">
        <f>IFERROR(SUMIF(気管支鏡!$C$30:$C$74,B299,気管支鏡!$K$30:$K$74)*((気管支鏡!$H$3-気管支鏡!$I$3)/気管支鏡!$H$3),0)</f>
        <v>0</v>
      </c>
      <c r="Y299" s="306">
        <f t="shared" si="72"/>
        <v>0</v>
      </c>
      <c r="Z299" s="305">
        <f>IFERROR(SUMIF(CT撮影装置!$C$30:$C$74,B299,CT撮影装置!$K$30:$K$74)*((CT撮影装置!$H$3-CT撮影装置!$I$3)/CT撮影装置!$H$3),0)</f>
        <v>0</v>
      </c>
      <c r="AA299" s="306">
        <f t="shared" si="87"/>
        <v>0</v>
      </c>
      <c r="AB299" s="305">
        <f>IFERROR(SUMIF(生体情報モニタ!$C$30:$C$74,B299,生体情報モニタ!$K$30:$K$74)*((生体情報モニタ!$H$3-生体情報モニタ!$I$3)/生体情報モニタ!$H$3),0)</f>
        <v>0</v>
      </c>
      <c r="AC299" s="306">
        <f t="shared" si="73"/>
        <v>0</v>
      </c>
      <c r="AD299" s="305">
        <f>IFERROR(SUMIF(分娩監視装置!$C$30:$C$74,B299,分娩監視装置!$K$30:$K$74)*((分娩監視装置!$H$3-分娩監視装置!$I$3)/分娩監視装置!$H$3),0)</f>
        <v>0</v>
      </c>
      <c r="AE299" s="306">
        <f t="shared" si="88"/>
        <v>0</v>
      </c>
      <c r="AF299" s="305">
        <f>IFERROR(SUMIF(新生児モニタ!$C$30:$C$74,B299,新生児モニタ!$K$30:$K$74)*((新生児モニタ!$H$3-新生児モニタ!$I$3)/新生児モニタ!$H$3),0)</f>
        <v>0</v>
      </c>
      <c r="AG299" s="306">
        <f t="shared" si="89"/>
        <v>0</v>
      </c>
    </row>
    <row r="300" spans="2:33">
      <c r="B300" s="283" t="s">
        <v>1113</v>
      </c>
      <c r="C300" s="305">
        <f>IFERROR(SUMIF(初度設備!$C$30:$C$74,B300,初度設備!$K$30:$K$74)*((初度設備!$H$3-初度設備!$I$3)/初度設備!$H$3),0)</f>
        <v>0</v>
      </c>
      <c r="D300" s="306">
        <f t="shared" si="74"/>
        <v>0</v>
      </c>
      <c r="E300" s="305">
        <f>IFERROR(SUMIF(人工呼吸器!$C$30:$C$74,B300,人工呼吸器!$K$30:$K$74)*((人工呼吸器!$H$3-人工呼吸器!$I$3)/人工呼吸器!$H$3),0)</f>
        <v>0</v>
      </c>
      <c r="F300" s="306">
        <f t="shared" si="75"/>
        <v>0</v>
      </c>
      <c r="G300" s="306">
        <f t="shared" si="76"/>
        <v>0</v>
      </c>
      <c r="H300" s="306">
        <f t="shared" si="77"/>
        <v>0</v>
      </c>
      <c r="I300" s="305">
        <f>IFERROR(SUMIF(簡易陰圧装置!$C$30:$C$74,B300,簡易陰圧装置!$K$30:$K$74)*((簡易陰圧装置!$H$3-簡易陰圧装置!$I$3)/簡易陰圧装置!$H$3),0)</f>
        <v>0</v>
      </c>
      <c r="J300" s="306">
        <f t="shared" si="78"/>
        <v>0</v>
      </c>
      <c r="K300" s="305">
        <f>IFERROR(SUMIF(簡易ベッド!$C$30:$C$74,B300,簡易ベッド!$K$30:$K$74)*((簡易ベッド!$H$3-簡易ベッド!$I$3)/簡易ベッド!$H$3),0)</f>
        <v>0</v>
      </c>
      <c r="L300" s="306">
        <f t="shared" si="79"/>
        <v>0</v>
      </c>
      <c r="M300" s="305">
        <f>IFERROR(SUMIF(体外式膜型人工肺!$C$30:$C$74,B300,体外式膜型人工肺!$K$30:$K$74)*((体外式膜型人工肺!$H$3-体外式膜型人工肺!$I$3)/体外式膜型人工肺!$H$3),0)</f>
        <v>0</v>
      </c>
      <c r="N300" s="306">
        <f t="shared" si="80"/>
        <v>0</v>
      </c>
      <c r="O300" s="306">
        <f t="shared" si="81"/>
        <v>0</v>
      </c>
      <c r="P300" s="306">
        <f t="shared" si="82"/>
        <v>0</v>
      </c>
      <c r="Q300" s="305">
        <f>IFERROR(SUMIF(紫外線照射装置!$C$30:$C$74,B300,紫外線照射装置!$K$30:$K$74)*((紫外線照射装置!$H$3-紫外線照射装置!$I$3)/紫外線照射装置!$H$3),0)</f>
        <v>0</v>
      </c>
      <c r="R300" s="306">
        <f t="shared" si="83"/>
        <v>0</v>
      </c>
      <c r="S300" s="419">
        <f t="shared" si="84"/>
        <v>0</v>
      </c>
      <c r="T300" s="305">
        <f>IFERROR(SUMIF(超音波画像診断装置!$C$30:$C$74,B300,超音波画像診断装置!$K$30:$K$74)*((超音波画像診断装置!$H$3-超音波画像診断装置!$I$3)/超音波画像診断装置!$H$3),0)</f>
        <v>0</v>
      </c>
      <c r="U300" s="306">
        <f t="shared" si="85"/>
        <v>0</v>
      </c>
      <c r="V300" s="305">
        <f>IFERROR(SUMIF(血液浄化装置!$C$30:$C$74,B300,血液浄化装置!$K$30:$K$74)*((血液浄化装置!$H$3-血液浄化装置!$I$3)/血液浄化装置!$H$3),0)</f>
        <v>0</v>
      </c>
      <c r="W300" s="306">
        <f t="shared" si="86"/>
        <v>0</v>
      </c>
      <c r="X300" s="305">
        <f>IFERROR(SUMIF(気管支鏡!$C$30:$C$74,B300,気管支鏡!$K$30:$K$74)*((気管支鏡!$H$3-気管支鏡!$I$3)/気管支鏡!$H$3),0)</f>
        <v>0</v>
      </c>
      <c r="Y300" s="306">
        <f t="shared" si="72"/>
        <v>0</v>
      </c>
      <c r="Z300" s="305">
        <f>IFERROR(SUMIF(CT撮影装置!$C$30:$C$74,B300,CT撮影装置!$K$30:$K$74)*((CT撮影装置!$H$3-CT撮影装置!$I$3)/CT撮影装置!$H$3),0)</f>
        <v>0</v>
      </c>
      <c r="AA300" s="306">
        <f t="shared" si="87"/>
        <v>0</v>
      </c>
      <c r="AB300" s="305">
        <f>IFERROR(SUMIF(生体情報モニタ!$C$30:$C$74,B300,生体情報モニタ!$K$30:$K$74)*((生体情報モニタ!$H$3-生体情報モニタ!$I$3)/生体情報モニタ!$H$3),0)</f>
        <v>0</v>
      </c>
      <c r="AC300" s="306">
        <f t="shared" si="73"/>
        <v>0</v>
      </c>
      <c r="AD300" s="305">
        <f>IFERROR(SUMIF(分娩監視装置!$C$30:$C$74,B300,分娩監視装置!$K$30:$K$74)*((分娩監視装置!$H$3-分娩監視装置!$I$3)/分娩監視装置!$H$3),0)</f>
        <v>0</v>
      </c>
      <c r="AE300" s="306">
        <f t="shared" si="88"/>
        <v>0</v>
      </c>
      <c r="AF300" s="305">
        <f>IFERROR(SUMIF(新生児モニタ!$C$30:$C$74,B300,新生児モニタ!$K$30:$K$74)*((新生児モニタ!$H$3-新生児モニタ!$I$3)/新生児モニタ!$H$3),0)</f>
        <v>0</v>
      </c>
      <c r="AG300" s="306">
        <f t="shared" si="89"/>
        <v>0</v>
      </c>
    </row>
    <row r="301" spans="2:33">
      <c r="B301" s="283" t="s">
        <v>1114</v>
      </c>
      <c r="C301" s="305">
        <f>IFERROR(SUMIF(初度設備!$C$30:$C$74,B301,初度設備!$K$30:$K$74)*((初度設備!$H$3-初度設備!$I$3)/初度設備!$H$3),0)</f>
        <v>0</v>
      </c>
      <c r="D301" s="306">
        <f t="shared" si="74"/>
        <v>0</v>
      </c>
      <c r="E301" s="305">
        <f>IFERROR(SUMIF(人工呼吸器!$C$30:$C$74,B301,人工呼吸器!$K$30:$K$74)*((人工呼吸器!$H$3-人工呼吸器!$I$3)/人工呼吸器!$H$3),0)</f>
        <v>0</v>
      </c>
      <c r="F301" s="306">
        <f t="shared" si="75"/>
        <v>0</v>
      </c>
      <c r="G301" s="306">
        <f t="shared" si="76"/>
        <v>0</v>
      </c>
      <c r="H301" s="306">
        <f t="shared" si="77"/>
        <v>0</v>
      </c>
      <c r="I301" s="305">
        <f>IFERROR(SUMIF(簡易陰圧装置!$C$30:$C$74,B301,簡易陰圧装置!$K$30:$K$74)*((簡易陰圧装置!$H$3-簡易陰圧装置!$I$3)/簡易陰圧装置!$H$3),0)</f>
        <v>0</v>
      </c>
      <c r="J301" s="306">
        <f t="shared" si="78"/>
        <v>0</v>
      </c>
      <c r="K301" s="305">
        <f>IFERROR(SUMIF(簡易ベッド!$C$30:$C$74,B301,簡易ベッド!$K$30:$K$74)*((簡易ベッド!$H$3-簡易ベッド!$I$3)/簡易ベッド!$H$3),0)</f>
        <v>0</v>
      </c>
      <c r="L301" s="306">
        <f t="shared" si="79"/>
        <v>0</v>
      </c>
      <c r="M301" s="305">
        <f>IFERROR(SUMIF(体外式膜型人工肺!$C$30:$C$74,B301,体外式膜型人工肺!$K$30:$K$74)*((体外式膜型人工肺!$H$3-体外式膜型人工肺!$I$3)/体外式膜型人工肺!$H$3),0)</f>
        <v>0</v>
      </c>
      <c r="N301" s="306">
        <f t="shared" si="80"/>
        <v>0</v>
      </c>
      <c r="O301" s="306">
        <f t="shared" si="81"/>
        <v>0</v>
      </c>
      <c r="P301" s="306">
        <f t="shared" si="82"/>
        <v>0</v>
      </c>
      <c r="Q301" s="305">
        <f>IFERROR(SUMIF(紫外線照射装置!$C$30:$C$74,B301,紫外線照射装置!$K$30:$K$74)*((紫外線照射装置!$H$3-紫外線照射装置!$I$3)/紫外線照射装置!$H$3),0)</f>
        <v>0</v>
      </c>
      <c r="R301" s="306">
        <f t="shared" si="83"/>
        <v>0</v>
      </c>
      <c r="S301" s="419">
        <f t="shared" si="84"/>
        <v>0</v>
      </c>
      <c r="T301" s="305">
        <f>IFERROR(SUMIF(超音波画像診断装置!$C$30:$C$74,B301,超音波画像診断装置!$K$30:$K$74)*((超音波画像診断装置!$H$3-超音波画像診断装置!$I$3)/超音波画像診断装置!$H$3),0)</f>
        <v>0</v>
      </c>
      <c r="U301" s="306">
        <f t="shared" si="85"/>
        <v>0</v>
      </c>
      <c r="V301" s="305">
        <f>IFERROR(SUMIF(血液浄化装置!$C$30:$C$74,B301,血液浄化装置!$K$30:$K$74)*((血液浄化装置!$H$3-血液浄化装置!$I$3)/血液浄化装置!$H$3),0)</f>
        <v>0</v>
      </c>
      <c r="W301" s="306">
        <f t="shared" si="86"/>
        <v>0</v>
      </c>
      <c r="X301" s="305">
        <f>IFERROR(SUMIF(気管支鏡!$C$30:$C$74,B301,気管支鏡!$K$30:$K$74)*((気管支鏡!$H$3-気管支鏡!$I$3)/気管支鏡!$H$3),0)</f>
        <v>0</v>
      </c>
      <c r="Y301" s="306">
        <f t="shared" si="72"/>
        <v>0</v>
      </c>
      <c r="Z301" s="305">
        <f>IFERROR(SUMIF(CT撮影装置!$C$30:$C$74,B301,CT撮影装置!$K$30:$K$74)*((CT撮影装置!$H$3-CT撮影装置!$I$3)/CT撮影装置!$H$3),0)</f>
        <v>0</v>
      </c>
      <c r="AA301" s="306">
        <f t="shared" si="87"/>
        <v>0</v>
      </c>
      <c r="AB301" s="305">
        <f>IFERROR(SUMIF(生体情報モニタ!$C$30:$C$74,B301,生体情報モニタ!$K$30:$K$74)*((生体情報モニタ!$H$3-生体情報モニタ!$I$3)/生体情報モニタ!$H$3),0)</f>
        <v>0</v>
      </c>
      <c r="AC301" s="306">
        <f t="shared" si="73"/>
        <v>0</v>
      </c>
      <c r="AD301" s="305">
        <f>IFERROR(SUMIF(分娩監視装置!$C$30:$C$74,B301,分娩監視装置!$K$30:$K$74)*((分娩監視装置!$H$3-分娩監視装置!$I$3)/分娩監視装置!$H$3),0)</f>
        <v>0</v>
      </c>
      <c r="AE301" s="306">
        <f t="shared" si="88"/>
        <v>0</v>
      </c>
      <c r="AF301" s="305">
        <f>IFERROR(SUMIF(新生児モニタ!$C$30:$C$74,B301,新生児モニタ!$K$30:$K$74)*((新生児モニタ!$H$3-新生児モニタ!$I$3)/新生児モニタ!$H$3),0)</f>
        <v>0</v>
      </c>
      <c r="AG301" s="306">
        <f t="shared" si="89"/>
        <v>0</v>
      </c>
    </row>
    <row r="302" spans="2:33">
      <c r="B302" s="283" t="s">
        <v>1115</v>
      </c>
      <c r="C302" s="305">
        <f>IFERROR(SUMIF(初度設備!$C$30:$C$74,B302,初度設備!$K$30:$K$74)*((初度設備!$H$3-初度設備!$I$3)/初度設備!$H$3),0)</f>
        <v>0</v>
      </c>
      <c r="D302" s="306">
        <f t="shared" si="74"/>
        <v>0</v>
      </c>
      <c r="E302" s="305">
        <f>IFERROR(SUMIF(人工呼吸器!$C$30:$C$74,B302,人工呼吸器!$K$30:$K$74)*((人工呼吸器!$H$3-人工呼吸器!$I$3)/人工呼吸器!$H$3),0)</f>
        <v>0</v>
      </c>
      <c r="F302" s="306">
        <f t="shared" si="75"/>
        <v>0</v>
      </c>
      <c r="G302" s="306">
        <f t="shared" si="76"/>
        <v>0</v>
      </c>
      <c r="H302" s="306">
        <f t="shared" si="77"/>
        <v>0</v>
      </c>
      <c r="I302" s="305">
        <f>IFERROR(SUMIF(簡易陰圧装置!$C$30:$C$74,B302,簡易陰圧装置!$K$30:$K$74)*((簡易陰圧装置!$H$3-簡易陰圧装置!$I$3)/簡易陰圧装置!$H$3),0)</f>
        <v>0</v>
      </c>
      <c r="J302" s="306">
        <f t="shared" si="78"/>
        <v>0</v>
      </c>
      <c r="K302" s="305">
        <f>IFERROR(SUMIF(簡易ベッド!$C$30:$C$74,B302,簡易ベッド!$K$30:$K$74)*((簡易ベッド!$H$3-簡易ベッド!$I$3)/簡易ベッド!$H$3),0)</f>
        <v>0</v>
      </c>
      <c r="L302" s="306">
        <f t="shared" si="79"/>
        <v>0</v>
      </c>
      <c r="M302" s="305">
        <f>IFERROR(SUMIF(体外式膜型人工肺!$C$30:$C$74,B302,体外式膜型人工肺!$K$30:$K$74)*((体外式膜型人工肺!$H$3-体外式膜型人工肺!$I$3)/体外式膜型人工肺!$H$3),0)</f>
        <v>0</v>
      </c>
      <c r="N302" s="306">
        <f t="shared" si="80"/>
        <v>0</v>
      </c>
      <c r="O302" s="306">
        <f t="shared" si="81"/>
        <v>0</v>
      </c>
      <c r="P302" s="306">
        <f t="shared" si="82"/>
        <v>0</v>
      </c>
      <c r="Q302" s="305">
        <f>IFERROR(SUMIF(紫外線照射装置!$C$30:$C$74,B302,紫外線照射装置!$K$30:$K$74)*((紫外線照射装置!$H$3-紫外線照射装置!$I$3)/紫外線照射装置!$H$3),0)</f>
        <v>0</v>
      </c>
      <c r="R302" s="306">
        <f t="shared" si="83"/>
        <v>0</v>
      </c>
      <c r="S302" s="419">
        <f t="shared" si="84"/>
        <v>0</v>
      </c>
      <c r="T302" s="305">
        <f>IFERROR(SUMIF(超音波画像診断装置!$C$30:$C$74,B302,超音波画像診断装置!$K$30:$K$74)*((超音波画像診断装置!$H$3-超音波画像診断装置!$I$3)/超音波画像診断装置!$H$3),0)</f>
        <v>0</v>
      </c>
      <c r="U302" s="306">
        <f t="shared" si="85"/>
        <v>0</v>
      </c>
      <c r="V302" s="305">
        <f>IFERROR(SUMIF(血液浄化装置!$C$30:$C$74,B302,血液浄化装置!$K$30:$K$74)*((血液浄化装置!$H$3-血液浄化装置!$I$3)/血液浄化装置!$H$3),0)</f>
        <v>0</v>
      </c>
      <c r="W302" s="306">
        <f t="shared" si="86"/>
        <v>0</v>
      </c>
      <c r="X302" s="305">
        <f>IFERROR(SUMIF(気管支鏡!$C$30:$C$74,B302,気管支鏡!$K$30:$K$74)*((気管支鏡!$H$3-気管支鏡!$I$3)/気管支鏡!$H$3),0)</f>
        <v>0</v>
      </c>
      <c r="Y302" s="306">
        <f t="shared" si="72"/>
        <v>0</v>
      </c>
      <c r="Z302" s="305">
        <f>IFERROR(SUMIF(CT撮影装置!$C$30:$C$74,B302,CT撮影装置!$K$30:$K$74)*((CT撮影装置!$H$3-CT撮影装置!$I$3)/CT撮影装置!$H$3),0)</f>
        <v>0</v>
      </c>
      <c r="AA302" s="306">
        <f t="shared" si="87"/>
        <v>0</v>
      </c>
      <c r="AB302" s="305">
        <f>IFERROR(SUMIF(生体情報モニタ!$C$30:$C$74,B302,生体情報モニタ!$K$30:$K$74)*((生体情報モニタ!$H$3-生体情報モニタ!$I$3)/生体情報モニタ!$H$3),0)</f>
        <v>0</v>
      </c>
      <c r="AC302" s="306">
        <f t="shared" si="73"/>
        <v>0</v>
      </c>
      <c r="AD302" s="305">
        <f>IFERROR(SUMIF(分娩監視装置!$C$30:$C$74,B302,分娩監視装置!$K$30:$K$74)*((分娩監視装置!$H$3-分娩監視装置!$I$3)/分娩監視装置!$H$3),0)</f>
        <v>0</v>
      </c>
      <c r="AE302" s="306">
        <f t="shared" si="88"/>
        <v>0</v>
      </c>
      <c r="AF302" s="305">
        <f>IFERROR(SUMIF(新生児モニタ!$C$30:$C$74,B302,新生児モニタ!$K$30:$K$74)*((新生児モニタ!$H$3-新生児モニタ!$I$3)/新生児モニタ!$H$3),0)</f>
        <v>0</v>
      </c>
      <c r="AG302" s="306">
        <f t="shared" si="89"/>
        <v>0</v>
      </c>
    </row>
    <row r="303" spans="2:33">
      <c r="B303" s="283" t="s">
        <v>1116</v>
      </c>
      <c r="C303" s="305">
        <f>IFERROR(SUMIF(初度設備!$C$30:$C$74,B303,初度設備!$K$30:$K$74)*((初度設備!$H$3-初度設備!$I$3)/初度設備!$H$3),0)</f>
        <v>0</v>
      </c>
      <c r="D303" s="306">
        <f t="shared" si="74"/>
        <v>0</v>
      </c>
      <c r="E303" s="305">
        <f>IFERROR(SUMIF(人工呼吸器!$C$30:$C$74,B303,人工呼吸器!$K$30:$K$74)*((人工呼吸器!$H$3-人工呼吸器!$I$3)/人工呼吸器!$H$3),0)</f>
        <v>0</v>
      </c>
      <c r="F303" s="306">
        <f t="shared" si="75"/>
        <v>0</v>
      </c>
      <c r="G303" s="306">
        <f t="shared" si="76"/>
        <v>0</v>
      </c>
      <c r="H303" s="306">
        <f t="shared" si="77"/>
        <v>0</v>
      </c>
      <c r="I303" s="305">
        <f>IFERROR(SUMIF(簡易陰圧装置!$C$30:$C$74,B303,簡易陰圧装置!$K$30:$K$74)*((簡易陰圧装置!$H$3-簡易陰圧装置!$I$3)/簡易陰圧装置!$H$3),0)</f>
        <v>0</v>
      </c>
      <c r="J303" s="306">
        <f t="shared" si="78"/>
        <v>0</v>
      </c>
      <c r="K303" s="305">
        <f>IFERROR(SUMIF(簡易ベッド!$C$30:$C$74,B303,簡易ベッド!$K$30:$K$74)*((簡易ベッド!$H$3-簡易ベッド!$I$3)/簡易ベッド!$H$3),0)</f>
        <v>0</v>
      </c>
      <c r="L303" s="306">
        <f t="shared" si="79"/>
        <v>0</v>
      </c>
      <c r="M303" s="305">
        <f>IFERROR(SUMIF(体外式膜型人工肺!$C$30:$C$74,B303,体外式膜型人工肺!$K$30:$K$74)*((体外式膜型人工肺!$H$3-体外式膜型人工肺!$I$3)/体外式膜型人工肺!$H$3),0)</f>
        <v>0</v>
      </c>
      <c r="N303" s="306">
        <f t="shared" si="80"/>
        <v>0</v>
      </c>
      <c r="O303" s="306">
        <f t="shared" si="81"/>
        <v>0</v>
      </c>
      <c r="P303" s="306">
        <f t="shared" si="82"/>
        <v>0</v>
      </c>
      <c r="Q303" s="305">
        <f>IFERROR(SUMIF(紫外線照射装置!$C$30:$C$74,B303,紫外線照射装置!$K$30:$K$74)*((紫外線照射装置!$H$3-紫外線照射装置!$I$3)/紫外線照射装置!$H$3),0)</f>
        <v>0</v>
      </c>
      <c r="R303" s="306">
        <f t="shared" si="83"/>
        <v>0</v>
      </c>
      <c r="S303" s="419">
        <f t="shared" si="84"/>
        <v>0</v>
      </c>
      <c r="T303" s="305">
        <f>IFERROR(SUMIF(超音波画像診断装置!$C$30:$C$74,B303,超音波画像診断装置!$K$30:$K$74)*((超音波画像診断装置!$H$3-超音波画像診断装置!$I$3)/超音波画像診断装置!$H$3),0)</f>
        <v>0</v>
      </c>
      <c r="U303" s="306">
        <f t="shared" si="85"/>
        <v>0</v>
      </c>
      <c r="V303" s="305">
        <f>IFERROR(SUMIF(血液浄化装置!$C$30:$C$74,B303,血液浄化装置!$K$30:$K$74)*((血液浄化装置!$H$3-血液浄化装置!$I$3)/血液浄化装置!$H$3),0)</f>
        <v>0</v>
      </c>
      <c r="W303" s="306">
        <f t="shared" si="86"/>
        <v>0</v>
      </c>
      <c r="X303" s="305">
        <f>IFERROR(SUMIF(気管支鏡!$C$30:$C$74,B303,気管支鏡!$K$30:$K$74)*((気管支鏡!$H$3-気管支鏡!$I$3)/気管支鏡!$H$3),0)</f>
        <v>0</v>
      </c>
      <c r="Y303" s="306">
        <f t="shared" si="72"/>
        <v>0</v>
      </c>
      <c r="Z303" s="305">
        <f>IFERROR(SUMIF(CT撮影装置!$C$30:$C$74,B303,CT撮影装置!$K$30:$K$74)*((CT撮影装置!$H$3-CT撮影装置!$I$3)/CT撮影装置!$H$3),0)</f>
        <v>0</v>
      </c>
      <c r="AA303" s="306">
        <f t="shared" si="87"/>
        <v>0</v>
      </c>
      <c r="AB303" s="305">
        <f>IFERROR(SUMIF(生体情報モニタ!$C$30:$C$74,B303,生体情報モニタ!$K$30:$K$74)*((生体情報モニタ!$H$3-生体情報モニタ!$I$3)/生体情報モニタ!$H$3),0)</f>
        <v>0</v>
      </c>
      <c r="AC303" s="306">
        <f t="shared" si="73"/>
        <v>0</v>
      </c>
      <c r="AD303" s="305">
        <f>IFERROR(SUMIF(分娩監視装置!$C$30:$C$74,B303,分娩監視装置!$K$30:$K$74)*((分娩監視装置!$H$3-分娩監視装置!$I$3)/分娩監視装置!$H$3),0)</f>
        <v>0</v>
      </c>
      <c r="AE303" s="306">
        <f t="shared" si="88"/>
        <v>0</v>
      </c>
      <c r="AF303" s="305">
        <f>IFERROR(SUMIF(新生児モニタ!$C$30:$C$74,B303,新生児モニタ!$K$30:$K$74)*((新生児モニタ!$H$3-新生児モニタ!$I$3)/新生児モニタ!$H$3),0)</f>
        <v>0</v>
      </c>
      <c r="AG303" s="306">
        <f t="shared" si="89"/>
        <v>0</v>
      </c>
    </row>
    <row r="304" spans="2:33">
      <c r="B304" s="283" t="s">
        <v>1117</v>
      </c>
      <c r="C304" s="305">
        <f>IFERROR(SUMIF(初度設備!$C$30:$C$74,B304,初度設備!$K$30:$K$74)*((初度設備!$H$3-初度設備!$I$3)/初度設備!$H$3),0)</f>
        <v>0</v>
      </c>
      <c r="D304" s="306">
        <f t="shared" si="74"/>
        <v>0</v>
      </c>
      <c r="E304" s="305">
        <f>IFERROR(SUMIF(人工呼吸器!$C$30:$C$74,B304,人工呼吸器!$K$30:$K$74)*((人工呼吸器!$H$3-人工呼吸器!$I$3)/人工呼吸器!$H$3),0)</f>
        <v>0</v>
      </c>
      <c r="F304" s="306">
        <f t="shared" si="75"/>
        <v>0</v>
      </c>
      <c r="G304" s="306">
        <f t="shared" si="76"/>
        <v>0</v>
      </c>
      <c r="H304" s="306">
        <f t="shared" si="77"/>
        <v>0</v>
      </c>
      <c r="I304" s="305">
        <f>IFERROR(SUMIF(簡易陰圧装置!$C$30:$C$74,B304,簡易陰圧装置!$K$30:$K$74)*((簡易陰圧装置!$H$3-簡易陰圧装置!$I$3)/簡易陰圧装置!$H$3),0)</f>
        <v>0</v>
      </c>
      <c r="J304" s="306">
        <f t="shared" si="78"/>
        <v>0</v>
      </c>
      <c r="K304" s="305">
        <f>IFERROR(SUMIF(簡易ベッド!$C$30:$C$74,B304,簡易ベッド!$K$30:$K$74)*((簡易ベッド!$H$3-簡易ベッド!$I$3)/簡易ベッド!$H$3),0)</f>
        <v>0</v>
      </c>
      <c r="L304" s="306">
        <f t="shared" si="79"/>
        <v>0</v>
      </c>
      <c r="M304" s="305">
        <f>IFERROR(SUMIF(体外式膜型人工肺!$C$30:$C$74,B304,体外式膜型人工肺!$K$30:$K$74)*((体外式膜型人工肺!$H$3-体外式膜型人工肺!$I$3)/体外式膜型人工肺!$H$3),0)</f>
        <v>0</v>
      </c>
      <c r="N304" s="306">
        <f t="shared" si="80"/>
        <v>0</v>
      </c>
      <c r="O304" s="306">
        <f t="shared" si="81"/>
        <v>0</v>
      </c>
      <c r="P304" s="306">
        <f t="shared" si="82"/>
        <v>0</v>
      </c>
      <c r="Q304" s="305">
        <f>IFERROR(SUMIF(紫外線照射装置!$C$30:$C$74,B304,紫外線照射装置!$K$30:$K$74)*((紫外線照射装置!$H$3-紫外線照射装置!$I$3)/紫外線照射装置!$H$3),0)</f>
        <v>0</v>
      </c>
      <c r="R304" s="306">
        <f t="shared" si="83"/>
        <v>0</v>
      </c>
      <c r="S304" s="419">
        <f t="shared" si="84"/>
        <v>0</v>
      </c>
      <c r="T304" s="305">
        <f>IFERROR(SUMIF(超音波画像診断装置!$C$30:$C$74,B304,超音波画像診断装置!$K$30:$K$74)*((超音波画像診断装置!$H$3-超音波画像診断装置!$I$3)/超音波画像診断装置!$H$3),0)</f>
        <v>0</v>
      </c>
      <c r="U304" s="306">
        <f t="shared" si="85"/>
        <v>0</v>
      </c>
      <c r="V304" s="305">
        <f>IFERROR(SUMIF(血液浄化装置!$C$30:$C$74,B304,血液浄化装置!$K$30:$K$74)*((血液浄化装置!$H$3-血液浄化装置!$I$3)/血液浄化装置!$H$3),0)</f>
        <v>0</v>
      </c>
      <c r="W304" s="306">
        <f t="shared" si="86"/>
        <v>0</v>
      </c>
      <c r="X304" s="305">
        <f>IFERROR(SUMIF(気管支鏡!$C$30:$C$74,B304,気管支鏡!$K$30:$K$74)*((気管支鏡!$H$3-気管支鏡!$I$3)/気管支鏡!$H$3),0)</f>
        <v>0</v>
      </c>
      <c r="Y304" s="306">
        <f t="shared" si="72"/>
        <v>0</v>
      </c>
      <c r="Z304" s="305">
        <f>IFERROR(SUMIF(CT撮影装置!$C$30:$C$74,B304,CT撮影装置!$K$30:$K$74)*((CT撮影装置!$H$3-CT撮影装置!$I$3)/CT撮影装置!$H$3),0)</f>
        <v>0</v>
      </c>
      <c r="AA304" s="306">
        <f t="shared" si="87"/>
        <v>0</v>
      </c>
      <c r="AB304" s="305">
        <f>IFERROR(SUMIF(生体情報モニタ!$C$30:$C$74,B304,生体情報モニタ!$K$30:$K$74)*((生体情報モニタ!$H$3-生体情報モニタ!$I$3)/生体情報モニタ!$H$3),0)</f>
        <v>0</v>
      </c>
      <c r="AC304" s="306">
        <f t="shared" si="73"/>
        <v>0</v>
      </c>
      <c r="AD304" s="305">
        <f>IFERROR(SUMIF(分娩監視装置!$C$30:$C$74,B304,分娩監視装置!$K$30:$K$74)*((分娩監視装置!$H$3-分娩監視装置!$I$3)/分娩監視装置!$H$3),0)</f>
        <v>0</v>
      </c>
      <c r="AE304" s="306">
        <f t="shared" si="88"/>
        <v>0</v>
      </c>
      <c r="AF304" s="305">
        <f>IFERROR(SUMIF(新生児モニタ!$C$30:$C$74,B304,新生児モニタ!$K$30:$K$74)*((新生児モニタ!$H$3-新生児モニタ!$I$3)/新生児モニタ!$H$3),0)</f>
        <v>0</v>
      </c>
      <c r="AG304" s="306">
        <f t="shared" si="89"/>
        <v>0</v>
      </c>
    </row>
    <row r="305" spans="2:33">
      <c r="B305" s="283" t="s">
        <v>1118</v>
      </c>
      <c r="C305" s="305">
        <f>IFERROR(SUMIF(初度設備!$C$30:$C$74,B305,初度設備!$K$30:$K$74)*((初度設備!$H$3-初度設備!$I$3)/初度設備!$H$3),0)</f>
        <v>0</v>
      </c>
      <c r="D305" s="306">
        <f t="shared" si="74"/>
        <v>0</v>
      </c>
      <c r="E305" s="305">
        <f>IFERROR(SUMIF(人工呼吸器!$C$30:$C$74,B305,人工呼吸器!$K$30:$K$74)*((人工呼吸器!$H$3-人工呼吸器!$I$3)/人工呼吸器!$H$3),0)</f>
        <v>0</v>
      </c>
      <c r="F305" s="306">
        <f t="shared" si="75"/>
        <v>0</v>
      </c>
      <c r="G305" s="306">
        <f t="shared" si="76"/>
        <v>0</v>
      </c>
      <c r="H305" s="306">
        <f t="shared" si="77"/>
        <v>0</v>
      </c>
      <c r="I305" s="305">
        <f>IFERROR(SUMIF(簡易陰圧装置!$C$30:$C$74,B305,簡易陰圧装置!$K$30:$K$74)*((簡易陰圧装置!$H$3-簡易陰圧装置!$I$3)/簡易陰圧装置!$H$3),0)</f>
        <v>0</v>
      </c>
      <c r="J305" s="306">
        <f t="shared" si="78"/>
        <v>0</v>
      </c>
      <c r="K305" s="305">
        <f>IFERROR(SUMIF(簡易ベッド!$C$30:$C$74,B305,簡易ベッド!$K$30:$K$74)*((簡易ベッド!$H$3-簡易ベッド!$I$3)/簡易ベッド!$H$3),0)</f>
        <v>0</v>
      </c>
      <c r="L305" s="306">
        <f t="shared" si="79"/>
        <v>0</v>
      </c>
      <c r="M305" s="305">
        <f>IFERROR(SUMIF(体外式膜型人工肺!$C$30:$C$74,B305,体外式膜型人工肺!$K$30:$K$74)*((体外式膜型人工肺!$H$3-体外式膜型人工肺!$I$3)/体外式膜型人工肺!$H$3),0)</f>
        <v>0</v>
      </c>
      <c r="N305" s="306">
        <f t="shared" si="80"/>
        <v>0</v>
      </c>
      <c r="O305" s="306">
        <f t="shared" si="81"/>
        <v>0</v>
      </c>
      <c r="P305" s="306">
        <f t="shared" si="82"/>
        <v>0</v>
      </c>
      <c r="Q305" s="305">
        <f>IFERROR(SUMIF(紫外線照射装置!$C$30:$C$74,B305,紫外線照射装置!$K$30:$K$74)*((紫外線照射装置!$H$3-紫外線照射装置!$I$3)/紫外線照射装置!$H$3),0)</f>
        <v>0</v>
      </c>
      <c r="R305" s="306">
        <f t="shared" si="83"/>
        <v>0</v>
      </c>
      <c r="S305" s="419">
        <f t="shared" si="84"/>
        <v>0</v>
      </c>
      <c r="T305" s="305">
        <f>IFERROR(SUMIF(超音波画像診断装置!$C$30:$C$74,B305,超音波画像診断装置!$K$30:$K$74)*((超音波画像診断装置!$H$3-超音波画像診断装置!$I$3)/超音波画像診断装置!$H$3),0)</f>
        <v>0</v>
      </c>
      <c r="U305" s="306">
        <f t="shared" si="85"/>
        <v>0</v>
      </c>
      <c r="V305" s="305">
        <f>IFERROR(SUMIF(血液浄化装置!$C$30:$C$74,B305,血液浄化装置!$K$30:$K$74)*((血液浄化装置!$H$3-血液浄化装置!$I$3)/血液浄化装置!$H$3),0)</f>
        <v>0</v>
      </c>
      <c r="W305" s="306">
        <f t="shared" si="86"/>
        <v>0</v>
      </c>
      <c r="X305" s="305">
        <f>IFERROR(SUMIF(気管支鏡!$C$30:$C$74,B305,気管支鏡!$K$30:$K$74)*((気管支鏡!$H$3-気管支鏡!$I$3)/気管支鏡!$H$3),0)</f>
        <v>0</v>
      </c>
      <c r="Y305" s="306">
        <f t="shared" si="72"/>
        <v>0</v>
      </c>
      <c r="Z305" s="305">
        <f>IFERROR(SUMIF(CT撮影装置!$C$30:$C$74,B305,CT撮影装置!$K$30:$K$74)*((CT撮影装置!$H$3-CT撮影装置!$I$3)/CT撮影装置!$H$3),0)</f>
        <v>0</v>
      </c>
      <c r="AA305" s="306">
        <f t="shared" si="87"/>
        <v>0</v>
      </c>
      <c r="AB305" s="305">
        <f>IFERROR(SUMIF(生体情報モニタ!$C$30:$C$74,B305,生体情報モニタ!$K$30:$K$74)*((生体情報モニタ!$H$3-生体情報モニタ!$I$3)/生体情報モニタ!$H$3),0)</f>
        <v>0</v>
      </c>
      <c r="AC305" s="306">
        <f t="shared" si="73"/>
        <v>0</v>
      </c>
      <c r="AD305" s="305">
        <f>IFERROR(SUMIF(分娩監視装置!$C$30:$C$74,B305,分娩監視装置!$K$30:$K$74)*((分娩監視装置!$H$3-分娩監視装置!$I$3)/分娩監視装置!$H$3),0)</f>
        <v>0</v>
      </c>
      <c r="AE305" s="306">
        <f t="shared" si="88"/>
        <v>0</v>
      </c>
      <c r="AF305" s="305">
        <f>IFERROR(SUMIF(新生児モニタ!$C$30:$C$74,B305,新生児モニタ!$K$30:$K$74)*((新生児モニタ!$H$3-新生児モニタ!$I$3)/新生児モニタ!$H$3),0)</f>
        <v>0</v>
      </c>
      <c r="AG305" s="306">
        <f t="shared" si="89"/>
        <v>0</v>
      </c>
    </row>
    <row r="306" spans="2:33">
      <c r="B306" s="283" t="s">
        <v>1119</v>
      </c>
      <c r="C306" s="305">
        <f>IFERROR(SUMIF(初度設備!$C$30:$C$74,B306,初度設備!$K$30:$K$74)*((初度設備!$H$3-初度設備!$I$3)/初度設備!$H$3),0)</f>
        <v>0</v>
      </c>
      <c r="D306" s="306">
        <f t="shared" si="74"/>
        <v>0</v>
      </c>
      <c r="E306" s="305">
        <f>IFERROR(SUMIF(人工呼吸器!$C$30:$C$74,B306,人工呼吸器!$K$30:$K$74)*((人工呼吸器!$H$3-人工呼吸器!$I$3)/人工呼吸器!$H$3),0)</f>
        <v>0</v>
      </c>
      <c r="F306" s="306">
        <f t="shared" si="75"/>
        <v>0</v>
      </c>
      <c r="G306" s="306">
        <f t="shared" si="76"/>
        <v>0</v>
      </c>
      <c r="H306" s="306">
        <f t="shared" si="77"/>
        <v>0</v>
      </c>
      <c r="I306" s="305">
        <f>IFERROR(SUMIF(簡易陰圧装置!$C$30:$C$74,B306,簡易陰圧装置!$K$30:$K$74)*((簡易陰圧装置!$H$3-簡易陰圧装置!$I$3)/簡易陰圧装置!$H$3),0)</f>
        <v>0</v>
      </c>
      <c r="J306" s="306">
        <f t="shared" si="78"/>
        <v>0</v>
      </c>
      <c r="K306" s="305">
        <f>IFERROR(SUMIF(簡易ベッド!$C$30:$C$74,B306,簡易ベッド!$K$30:$K$74)*((簡易ベッド!$H$3-簡易ベッド!$I$3)/簡易ベッド!$H$3),0)</f>
        <v>0</v>
      </c>
      <c r="L306" s="306">
        <f t="shared" si="79"/>
        <v>0</v>
      </c>
      <c r="M306" s="305">
        <f>IFERROR(SUMIF(体外式膜型人工肺!$C$30:$C$74,B306,体外式膜型人工肺!$K$30:$K$74)*((体外式膜型人工肺!$H$3-体外式膜型人工肺!$I$3)/体外式膜型人工肺!$H$3),0)</f>
        <v>0</v>
      </c>
      <c r="N306" s="306">
        <f t="shared" si="80"/>
        <v>0</v>
      </c>
      <c r="O306" s="306">
        <f t="shared" si="81"/>
        <v>0</v>
      </c>
      <c r="P306" s="306">
        <f t="shared" si="82"/>
        <v>0</v>
      </c>
      <c r="Q306" s="305">
        <f>IFERROR(SUMIF(紫外線照射装置!$C$30:$C$74,B306,紫外線照射装置!$K$30:$K$74)*((紫外線照射装置!$H$3-紫外線照射装置!$I$3)/紫外線照射装置!$H$3),0)</f>
        <v>0</v>
      </c>
      <c r="R306" s="306">
        <f t="shared" si="83"/>
        <v>0</v>
      </c>
      <c r="S306" s="419">
        <f t="shared" si="84"/>
        <v>0</v>
      </c>
      <c r="T306" s="305">
        <f>IFERROR(SUMIF(超音波画像診断装置!$C$30:$C$74,B306,超音波画像診断装置!$K$30:$K$74)*((超音波画像診断装置!$H$3-超音波画像診断装置!$I$3)/超音波画像診断装置!$H$3),0)</f>
        <v>0</v>
      </c>
      <c r="U306" s="306">
        <f t="shared" si="85"/>
        <v>0</v>
      </c>
      <c r="V306" s="305">
        <f>IFERROR(SUMIF(血液浄化装置!$C$30:$C$74,B306,血液浄化装置!$K$30:$K$74)*((血液浄化装置!$H$3-血液浄化装置!$I$3)/血液浄化装置!$H$3),0)</f>
        <v>0</v>
      </c>
      <c r="W306" s="306">
        <f t="shared" si="86"/>
        <v>0</v>
      </c>
      <c r="X306" s="305">
        <f>IFERROR(SUMIF(気管支鏡!$C$30:$C$74,B306,気管支鏡!$K$30:$K$74)*((気管支鏡!$H$3-気管支鏡!$I$3)/気管支鏡!$H$3),0)</f>
        <v>0</v>
      </c>
      <c r="Y306" s="306">
        <f t="shared" si="72"/>
        <v>0</v>
      </c>
      <c r="Z306" s="305">
        <f>IFERROR(SUMIF(CT撮影装置!$C$30:$C$74,B306,CT撮影装置!$K$30:$K$74)*((CT撮影装置!$H$3-CT撮影装置!$I$3)/CT撮影装置!$H$3),0)</f>
        <v>0</v>
      </c>
      <c r="AA306" s="306">
        <f t="shared" si="87"/>
        <v>0</v>
      </c>
      <c r="AB306" s="305">
        <f>IFERROR(SUMIF(生体情報モニタ!$C$30:$C$74,B306,生体情報モニタ!$K$30:$K$74)*((生体情報モニタ!$H$3-生体情報モニタ!$I$3)/生体情報モニタ!$H$3),0)</f>
        <v>0</v>
      </c>
      <c r="AC306" s="306">
        <f t="shared" si="73"/>
        <v>0</v>
      </c>
      <c r="AD306" s="305">
        <f>IFERROR(SUMIF(分娩監視装置!$C$30:$C$74,B306,分娩監視装置!$K$30:$K$74)*((分娩監視装置!$H$3-分娩監視装置!$I$3)/分娩監視装置!$H$3),0)</f>
        <v>0</v>
      </c>
      <c r="AE306" s="306">
        <f t="shared" si="88"/>
        <v>0</v>
      </c>
      <c r="AF306" s="305">
        <f>IFERROR(SUMIF(新生児モニタ!$C$30:$C$74,B306,新生児モニタ!$K$30:$K$74)*((新生児モニタ!$H$3-新生児モニタ!$I$3)/新生児モニタ!$H$3),0)</f>
        <v>0</v>
      </c>
      <c r="AG306" s="306">
        <f t="shared" si="89"/>
        <v>0</v>
      </c>
    </row>
    <row r="307" spans="2:33">
      <c r="B307" s="283" t="s">
        <v>1120</v>
      </c>
      <c r="C307" s="305">
        <f>IFERROR(SUMIF(初度設備!$C$30:$C$74,B307,初度設備!$K$30:$K$74)*((初度設備!$H$3-初度設備!$I$3)/初度設備!$H$3),0)</f>
        <v>0</v>
      </c>
      <c r="D307" s="306">
        <f t="shared" si="74"/>
        <v>0</v>
      </c>
      <c r="E307" s="305">
        <f>IFERROR(SUMIF(人工呼吸器!$C$30:$C$74,B307,人工呼吸器!$K$30:$K$74)*((人工呼吸器!$H$3-人工呼吸器!$I$3)/人工呼吸器!$H$3),0)</f>
        <v>0</v>
      </c>
      <c r="F307" s="306">
        <f t="shared" si="75"/>
        <v>0</v>
      </c>
      <c r="G307" s="306">
        <f t="shared" si="76"/>
        <v>0</v>
      </c>
      <c r="H307" s="306">
        <f t="shared" si="77"/>
        <v>0</v>
      </c>
      <c r="I307" s="305">
        <f>IFERROR(SUMIF(簡易陰圧装置!$C$30:$C$74,B307,簡易陰圧装置!$K$30:$K$74)*((簡易陰圧装置!$H$3-簡易陰圧装置!$I$3)/簡易陰圧装置!$H$3),0)</f>
        <v>0</v>
      </c>
      <c r="J307" s="306">
        <f t="shared" si="78"/>
        <v>0</v>
      </c>
      <c r="K307" s="305">
        <f>IFERROR(SUMIF(簡易ベッド!$C$30:$C$74,B307,簡易ベッド!$K$30:$K$74)*((簡易ベッド!$H$3-簡易ベッド!$I$3)/簡易ベッド!$H$3),0)</f>
        <v>0</v>
      </c>
      <c r="L307" s="306">
        <f t="shared" si="79"/>
        <v>0</v>
      </c>
      <c r="M307" s="305">
        <f>IFERROR(SUMIF(体外式膜型人工肺!$C$30:$C$74,B307,体外式膜型人工肺!$K$30:$K$74)*((体外式膜型人工肺!$H$3-体外式膜型人工肺!$I$3)/体外式膜型人工肺!$H$3),0)</f>
        <v>0</v>
      </c>
      <c r="N307" s="306">
        <f t="shared" si="80"/>
        <v>0</v>
      </c>
      <c r="O307" s="306">
        <f t="shared" si="81"/>
        <v>0</v>
      </c>
      <c r="P307" s="306">
        <f t="shared" si="82"/>
        <v>0</v>
      </c>
      <c r="Q307" s="305">
        <f>IFERROR(SUMIF(紫外線照射装置!$C$30:$C$74,B307,紫外線照射装置!$K$30:$K$74)*((紫外線照射装置!$H$3-紫外線照射装置!$I$3)/紫外線照射装置!$H$3),0)</f>
        <v>0</v>
      </c>
      <c r="R307" s="306">
        <f t="shared" si="83"/>
        <v>0</v>
      </c>
      <c r="S307" s="419">
        <f t="shared" si="84"/>
        <v>0</v>
      </c>
      <c r="T307" s="305">
        <f>IFERROR(SUMIF(超音波画像診断装置!$C$30:$C$74,B307,超音波画像診断装置!$K$30:$K$74)*((超音波画像診断装置!$H$3-超音波画像診断装置!$I$3)/超音波画像診断装置!$H$3),0)</f>
        <v>0</v>
      </c>
      <c r="U307" s="306">
        <f t="shared" si="85"/>
        <v>0</v>
      </c>
      <c r="V307" s="305">
        <f>IFERROR(SUMIF(血液浄化装置!$C$30:$C$74,B307,血液浄化装置!$K$30:$K$74)*((血液浄化装置!$H$3-血液浄化装置!$I$3)/血液浄化装置!$H$3),0)</f>
        <v>0</v>
      </c>
      <c r="W307" s="306">
        <f t="shared" si="86"/>
        <v>0</v>
      </c>
      <c r="X307" s="305">
        <f>IFERROR(SUMIF(気管支鏡!$C$30:$C$74,B307,気管支鏡!$K$30:$K$74)*((気管支鏡!$H$3-気管支鏡!$I$3)/気管支鏡!$H$3),0)</f>
        <v>0</v>
      </c>
      <c r="Y307" s="306">
        <f t="shared" si="72"/>
        <v>0</v>
      </c>
      <c r="Z307" s="305">
        <f>IFERROR(SUMIF(CT撮影装置!$C$30:$C$74,B307,CT撮影装置!$K$30:$K$74)*((CT撮影装置!$H$3-CT撮影装置!$I$3)/CT撮影装置!$H$3),0)</f>
        <v>0</v>
      </c>
      <c r="AA307" s="306">
        <f t="shared" si="87"/>
        <v>0</v>
      </c>
      <c r="AB307" s="305">
        <f>IFERROR(SUMIF(生体情報モニタ!$C$30:$C$74,B307,生体情報モニタ!$K$30:$K$74)*((生体情報モニタ!$H$3-生体情報モニタ!$I$3)/生体情報モニタ!$H$3),0)</f>
        <v>0</v>
      </c>
      <c r="AC307" s="306">
        <f t="shared" si="73"/>
        <v>0</v>
      </c>
      <c r="AD307" s="305">
        <f>IFERROR(SUMIF(分娩監視装置!$C$30:$C$74,B307,分娩監視装置!$K$30:$K$74)*((分娩監視装置!$H$3-分娩監視装置!$I$3)/分娩監視装置!$H$3),0)</f>
        <v>0</v>
      </c>
      <c r="AE307" s="306">
        <f t="shared" si="88"/>
        <v>0</v>
      </c>
      <c r="AF307" s="305">
        <f>IFERROR(SUMIF(新生児モニタ!$C$30:$C$74,B307,新生児モニタ!$K$30:$K$74)*((新生児モニタ!$H$3-新生児モニタ!$I$3)/新生児モニタ!$H$3),0)</f>
        <v>0</v>
      </c>
      <c r="AG307" s="306">
        <f t="shared" si="89"/>
        <v>0</v>
      </c>
    </row>
    <row r="308" spans="2:33">
      <c r="B308" s="283" t="s">
        <v>1121</v>
      </c>
      <c r="C308" s="305">
        <f>IFERROR(SUMIF(初度設備!$C$30:$C$74,B308,初度設備!$K$30:$K$74)*((初度設備!$H$3-初度設備!$I$3)/初度設備!$H$3),0)</f>
        <v>0</v>
      </c>
      <c r="D308" s="306">
        <f t="shared" si="74"/>
        <v>0</v>
      </c>
      <c r="E308" s="305">
        <f>IFERROR(SUMIF(人工呼吸器!$C$30:$C$74,B308,人工呼吸器!$K$30:$K$74)*((人工呼吸器!$H$3-人工呼吸器!$I$3)/人工呼吸器!$H$3),0)</f>
        <v>0</v>
      </c>
      <c r="F308" s="306">
        <f t="shared" si="75"/>
        <v>0</v>
      </c>
      <c r="G308" s="306">
        <f t="shared" si="76"/>
        <v>0</v>
      </c>
      <c r="H308" s="306">
        <f t="shared" si="77"/>
        <v>0</v>
      </c>
      <c r="I308" s="305">
        <f>IFERROR(SUMIF(簡易陰圧装置!$C$30:$C$74,B308,簡易陰圧装置!$K$30:$K$74)*((簡易陰圧装置!$H$3-簡易陰圧装置!$I$3)/簡易陰圧装置!$H$3),0)</f>
        <v>0</v>
      </c>
      <c r="J308" s="306">
        <f t="shared" si="78"/>
        <v>0</v>
      </c>
      <c r="K308" s="305">
        <f>IFERROR(SUMIF(簡易ベッド!$C$30:$C$74,B308,簡易ベッド!$K$30:$K$74)*((簡易ベッド!$H$3-簡易ベッド!$I$3)/簡易ベッド!$H$3),0)</f>
        <v>0</v>
      </c>
      <c r="L308" s="306">
        <f t="shared" si="79"/>
        <v>0</v>
      </c>
      <c r="M308" s="305">
        <f>IFERROR(SUMIF(体外式膜型人工肺!$C$30:$C$74,B308,体外式膜型人工肺!$K$30:$K$74)*((体外式膜型人工肺!$H$3-体外式膜型人工肺!$I$3)/体外式膜型人工肺!$H$3),0)</f>
        <v>0</v>
      </c>
      <c r="N308" s="306">
        <f t="shared" si="80"/>
        <v>0</v>
      </c>
      <c r="O308" s="306">
        <f t="shared" si="81"/>
        <v>0</v>
      </c>
      <c r="P308" s="306">
        <f t="shared" si="82"/>
        <v>0</v>
      </c>
      <c r="Q308" s="305">
        <f>IFERROR(SUMIF(紫外線照射装置!$C$30:$C$74,B308,紫外線照射装置!$K$30:$K$74)*((紫外線照射装置!$H$3-紫外線照射装置!$I$3)/紫外線照射装置!$H$3),0)</f>
        <v>0</v>
      </c>
      <c r="R308" s="306">
        <f t="shared" si="83"/>
        <v>0</v>
      </c>
      <c r="S308" s="419">
        <f t="shared" si="84"/>
        <v>0</v>
      </c>
      <c r="T308" s="305">
        <f>IFERROR(SUMIF(超音波画像診断装置!$C$30:$C$74,B308,超音波画像診断装置!$K$30:$K$74)*((超音波画像診断装置!$H$3-超音波画像診断装置!$I$3)/超音波画像診断装置!$H$3),0)</f>
        <v>0</v>
      </c>
      <c r="U308" s="306">
        <f t="shared" si="85"/>
        <v>0</v>
      </c>
      <c r="V308" s="305">
        <f>IFERROR(SUMIF(血液浄化装置!$C$30:$C$74,B308,血液浄化装置!$K$30:$K$74)*((血液浄化装置!$H$3-血液浄化装置!$I$3)/血液浄化装置!$H$3),0)</f>
        <v>0</v>
      </c>
      <c r="W308" s="306">
        <f t="shared" si="86"/>
        <v>0</v>
      </c>
      <c r="X308" s="305">
        <f>IFERROR(SUMIF(気管支鏡!$C$30:$C$74,B308,気管支鏡!$K$30:$K$74)*((気管支鏡!$H$3-気管支鏡!$I$3)/気管支鏡!$H$3),0)</f>
        <v>0</v>
      </c>
      <c r="Y308" s="306">
        <f t="shared" si="72"/>
        <v>0</v>
      </c>
      <c r="Z308" s="305">
        <f>IFERROR(SUMIF(CT撮影装置!$C$30:$C$74,B308,CT撮影装置!$K$30:$K$74)*((CT撮影装置!$H$3-CT撮影装置!$I$3)/CT撮影装置!$H$3),0)</f>
        <v>0</v>
      </c>
      <c r="AA308" s="306">
        <f t="shared" si="87"/>
        <v>0</v>
      </c>
      <c r="AB308" s="305">
        <f>IFERROR(SUMIF(生体情報モニタ!$C$30:$C$74,B308,生体情報モニタ!$K$30:$K$74)*((生体情報モニタ!$H$3-生体情報モニタ!$I$3)/生体情報モニタ!$H$3),0)</f>
        <v>0</v>
      </c>
      <c r="AC308" s="306">
        <f t="shared" si="73"/>
        <v>0</v>
      </c>
      <c r="AD308" s="305">
        <f>IFERROR(SUMIF(分娩監視装置!$C$30:$C$74,B308,分娩監視装置!$K$30:$K$74)*((分娩監視装置!$H$3-分娩監視装置!$I$3)/分娩監視装置!$H$3),0)</f>
        <v>0</v>
      </c>
      <c r="AE308" s="306">
        <f t="shared" si="88"/>
        <v>0</v>
      </c>
      <c r="AF308" s="305">
        <f>IFERROR(SUMIF(新生児モニタ!$C$30:$C$74,B308,新生児モニタ!$K$30:$K$74)*((新生児モニタ!$H$3-新生児モニタ!$I$3)/新生児モニタ!$H$3),0)</f>
        <v>0</v>
      </c>
      <c r="AG308" s="306">
        <f t="shared" si="89"/>
        <v>0</v>
      </c>
    </row>
    <row r="309" spans="2:33">
      <c r="B309" s="283" t="s">
        <v>1122</v>
      </c>
      <c r="C309" s="305">
        <f>IFERROR(SUMIF(初度設備!$C$30:$C$74,B309,初度設備!$K$30:$K$74)*((初度設備!$H$3-初度設備!$I$3)/初度設備!$H$3),0)</f>
        <v>0</v>
      </c>
      <c r="D309" s="306">
        <f t="shared" si="74"/>
        <v>0</v>
      </c>
      <c r="E309" s="305">
        <f>IFERROR(SUMIF(人工呼吸器!$C$30:$C$74,B309,人工呼吸器!$K$30:$K$74)*((人工呼吸器!$H$3-人工呼吸器!$I$3)/人工呼吸器!$H$3),0)</f>
        <v>0</v>
      </c>
      <c r="F309" s="306">
        <f t="shared" si="75"/>
        <v>0</v>
      </c>
      <c r="G309" s="306">
        <f t="shared" si="76"/>
        <v>0</v>
      </c>
      <c r="H309" s="306">
        <f t="shared" si="77"/>
        <v>0</v>
      </c>
      <c r="I309" s="305">
        <f>IFERROR(SUMIF(簡易陰圧装置!$C$30:$C$74,B309,簡易陰圧装置!$K$30:$K$74)*((簡易陰圧装置!$H$3-簡易陰圧装置!$I$3)/簡易陰圧装置!$H$3),0)</f>
        <v>0</v>
      </c>
      <c r="J309" s="306">
        <f t="shared" si="78"/>
        <v>0</v>
      </c>
      <c r="K309" s="305">
        <f>IFERROR(SUMIF(簡易ベッド!$C$30:$C$74,B309,簡易ベッド!$K$30:$K$74)*((簡易ベッド!$H$3-簡易ベッド!$I$3)/簡易ベッド!$H$3),0)</f>
        <v>0</v>
      </c>
      <c r="L309" s="306">
        <f t="shared" si="79"/>
        <v>0</v>
      </c>
      <c r="M309" s="305">
        <f>IFERROR(SUMIF(体外式膜型人工肺!$C$30:$C$74,B309,体外式膜型人工肺!$K$30:$K$74)*((体外式膜型人工肺!$H$3-体外式膜型人工肺!$I$3)/体外式膜型人工肺!$H$3),0)</f>
        <v>0</v>
      </c>
      <c r="N309" s="306">
        <f t="shared" si="80"/>
        <v>0</v>
      </c>
      <c r="O309" s="306">
        <f t="shared" si="81"/>
        <v>0</v>
      </c>
      <c r="P309" s="306">
        <f t="shared" si="82"/>
        <v>0</v>
      </c>
      <c r="Q309" s="305">
        <f>IFERROR(SUMIF(紫外線照射装置!$C$30:$C$74,B309,紫外線照射装置!$K$30:$K$74)*((紫外線照射装置!$H$3-紫外線照射装置!$I$3)/紫外線照射装置!$H$3),0)</f>
        <v>0</v>
      </c>
      <c r="R309" s="306">
        <f t="shared" si="83"/>
        <v>0</v>
      </c>
      <c r="S309" s="419">
        <f t="shared" si="84"/>
        <v>0</v>
      </c>
      <c r="T309" s="305">
        <f>IFERROR(SUMIF(超音波画像診断装置!$C$30:$C$74,B309,超音波画像診断装置!$K$30:$K$74)*((超音波画像診断装置!$H$3-超音波画像診断装置!$I$3)/超音波画像診断装置!$H$3),0)</f>
        <v>0</v>
      </c>
      <c r="U309" s="306">
        <f t="shared" si="85"/>
        <v>0</v>
      </c>
      <c r="V309" s="305">
        <f>IFERROR(SUMIF(血液浄化装置!$C$30:$C$74,B309,血液浄化装置!$K$30:$K$74)*((血液浄化装置!$H$3-血液浄化装置!$I$3)/血液浄化装置!$H$3),0)</f>
        <v>0</v>
      </c>
      <c r="W309" s="306">
        <f t="shared" si="86"/>
        <v>0</v>
      </c>
      <c r="X309" s="305">
        <f>IFERROR(SUMIF(気管支鏡!$C$30:$C$74,B309,気管支鏡!$K$30:$K$74)*((気管支鏡!$H$3-気管支鏡!$I$3)/気管支鏡!$H$3),0)</f>
        <v>0</v>
      </c>
      <c r="Y309" s="306">
        <f t="shared" si="72"/>
        <v>0</v>
      </c>
      <c r="Z309" s="305">
        <f>IFERROR(SUMIF(CT撮影装置!$C$30:$C$74,B309,CT撮影装置!$K$30:$K$74)*((CT撮影装置!$H$3-CT撮影装置!$I$3)/CT撮影装置!$H$3),0)</f>
        <v>0</v>
      </c>
      <c r="AA309" s="306">
        <f t="shared" si="87"/>
        <v>0</v>
      </c>
      <c r="AB309" s="305">
        <f>IFERROR(SUMIF(生体情報モニタ!$C$30:$C$74,B309,生体情報モニタ!$K$30:$K$74)*((生体情報モニタ!$H$3-生体情報モニタ!$I$3)/生体情報モニタ!$H$3),0)</f>
        <v>0</v>
      </c>
      <c r="AC309" s="306">
        <f t="shared" si="73"/>
        <v>0</v>
      </c>
      <c r="AD309" s="305">
        <f>IFERROR(SUMIF(分娩監視装置!$C$30:$C$74,B309,分娩監視装置!$K$30:$K$74)*((分娩監視装置!$H$3-分娩監視装置!$I$3)/分娩監視装置!$H$3),0)</f>
        <v>0</v>
      </c>
      <c r="AE309" s="306">
        <f t="shared" si="88"/>
        <v>0</v>
      </c>
      <c r="AF309" s="305">
        <f>IFERROR(SUMIF(新生児モニタ!$C$30:$C$74,B309,新生児モニタ!$K$30:$K$74)*((新生児モニタ!$H$3-新生児モニタ!$I$3)/新生児モニタ!$H$3),0)</f>
        <v>0</v>
      </c>
      <c r="AG309" s="306">
        <f t="shared" si="89"/>
        <v>0</v>
      </c>
    </row>
    <row r="310" spans="2:33">
      <c r="B310" s="283" t="s">
        <v>1123</v>
      </c>
      <c r="C310" s="305">
        <f>IFERROR(SUMIF(初度設備!$C$30:$C$74,B310,初度設備!$K$30:$K$74)*((初度設備!$H$3-初度設備!$I$3)/初度設備!$H$3),0)</f>
        <v>0</v>
      </c>
      <c r="D310" s="306">
        <f t="shared" si="74"/>
        <v>0</v>
      </c>
      <c r="E310" s="305">
        <f>IFERROR(SUMIF(人工呼吸器!$C$30:$C$74,B310,人工呼吸器!$K$30:$K$74)*((人工呼吸器!$H$3-人工呼吸器!$I$3)/人工呼吸器!$H$3),0)</f>
        <v>0</v>
      </c>
      <c r="F310" s="306">
        <f t="shared" si="75"/>
        <v>0</v>
      </c>
      <c r="G310" s="306">
        <f t="shared" si="76"/>
        <v>0</v>
      </c>
      <c r="H310" s="306">
        <f t="shared" si="77"/>
        <v>0</v>
      </c>
      <c r="I310" s="305">
        <f>IFERROR(SUMIF(簡易陰圧装置!$C$30:$C$74,B310,簡易陰圧装置!$K$30:$K$74)*((簡易陰圧装置!$H$3-簡易陰圧装置!$I$3)/簡易陰圧装置!$H$3),0)</f>
        <v>0</v>
      </c>
      <c r="J310" s="306">
        <f t="shared" si="78"/>
        <v>0</v>
      </c>
      <c r="K310" s="305">
        <f>IFERROR(SUMIF(簡易ベッド!$C$30:$C$74,B310,簡易ベッド!$K$30:$K$74)*((簡易ベッド!$H$3-簡易ベッド!$I$3)/簡易ベッド!$H$3),0)</f>
        <v>0</v>
      </c>
      <c r="L310" s="306">
        <f t="shared" si="79"/>
        <v>0</v>
      </c>
      <c r="M310" s="305">
        <f>IFERROR(SUMIF(体外式膜型人工肺!$C$30:$C$74,B310,体外式膜型人工肺!$K$30:$K$74)*((体外式膜型人工肺!$H$3-体外式膜型人工肺!$I$3)/体外式膜型人工肺!$H$3),0)</f>
        <v>0</v>
      </c>
      <c r="N310" s="306">
        <f t="shared" si="80"/>
        <v>0</v>
      </c>
      <c r="O310" s="306">
        <f t="shared" si="81"/>
        <v>0</v>
      </c>
      <c r="P310" s="306">
        <f t="shared" si="82"/>
        <v>0</v>
      </c>
      <c r="Q310" s="305">
        <f>IFERROR(SUMIF(紫外線照射装置!$C$30:$C$74,B310,紫外線照射装置!$K$30:$K$74)*((紫外線照射装置!$H$3-紫外線照射装置!$I$3)/紫外線照射装置!$H$3),0)</f>
        <v>0</v>
      </c>
      <c r="R310" s="306">
        <f t="shared" si="83"/>
        <v>0</v>
      </c>
      <c r="S310" s="419">
        <f t="shared" si="84"/>
        <v>0</v>
      </c>
      <c r="T310" s="305">
        <f>IFERROR(SUMIF(超音波画像診断装置!$C$30:$C$74,B310,超音波画像診断装置!$K$30:$K$74)*((超音波画像診断装置!$H$3-超音波画像診断装置!$I$3)/超音波画像診断装置!$H$3),0)</f>
        <v>0</v>
      </c>
      <c r="U310" s="306">
        <f t="shared" si="85"/>
        <v>0</v>
      </c>
      <c r="V310" s="305">
        <f>IFERROR(SUMIF(血液浄化装置!$C$30:$C$74,B310,血液浄化装置!$K$30:$K$74)*((血液浄化装置!$H$3-血液浄化装置!$I$3)/血液浄化装置!$H$3),0)</f>
        <v>0</v>
      </c>
      <c r="W310" s="306">
        <f t="shared" si="86"/>
        <v>0</v>
      </c>
      <c r="X310" s="305">
        <f>IFERROR(SUMIF(気管支鏡!$C$30:$C$74,B310,気管支鏡!$K$30:$K$74)*((気管支鏡!$H$3-気管支鏡!$I$3)/気管支鏡!$H$3),0)</f>
        <v>0</v>
      </c>
      <c r="Y310" s="306">
        <f t="shared" si="72"/>
        <v>0</v>
      </c>
      <c r="Z310" s="305">
        <f>IFERROR(SUMIF(CT撮影装置!$C$30:$C$74,B310,CT撮影装置!$K$30:$K$74)*((CT撮影装置!$H$3-CT撮影装置!$I$3)/CT撮影装置!$H$3),0)</f>
        <v>0</v>
      </c>
      <c r="AA310" s="306">
        <f t="shared" si="87"/>
        <v>0</v>
      </c>
      <c r="AB310" s="305">
        <f>IFERROR(SUMIF(生体情報モニタ!$C$30:$C$74,B310,生体情報モニタ!$K$30:$K$74)*((生体情報モニタ!$H$3-生体情報モニタ!$I$3)/生体情報モニタ!$H$3),0)</f>
        <v>0</v>
      </c>
      <c r="AC310" s="306">
        <f t="shared" si="73"/>
        <v>0</v>
      </c>
      <c r="AD310" s="305">
        <f>IFERROR(SUMIF(分娩監視装置!$C$30:$C$74,B310,分娩監視装置!$K$30:$K$74)*((分娩監視装置!$H$3-分娩監視装置!$I$3)/分娩監視装置!$H$3),0)</f>
        <v>0</v>
      </c>
      <c r="AE310" s="306">
        <f t="shared" si="88"/>
        <v>0</v>
      </c>
      <c r="AF310" s="305">
        <f>IFERROR(SUMIF(新生児モニタ!$C$30:$C$74,B310,新生児モニタ!$K$30:$K$74)*((新生児モニタ!$H$3-新生児モニタ!$I$3)/新生児モニタ!$H$3),0)</f>
        <v>0</v>
      </c>
      <c r="AG310" s="306">
        <f t="shared" si="89"/>
        <v>0</v>
      </c>
    </row>
    <row r="311" spans="2:33">
      <c r="B311" s="283" t="s">
        <v>1124</v>
      </c>
      <c r="C311" s="305">
        <f>IFERROR(SUMIF(初度設備!$C$30:$C$74,B311,初度設備!$K$30:$K$74)*((初度設備!$H$3-初度設備!$I$3)/初度設備!$H$3),0)</f>
        <v>0</v>
      </c>
      <c r="D311" s="306">
        <f t="shared" si="74"/>
        <v>0</v>
      </c>
      <c r="E311" s="305">
        <f>IFERROR(SUMIF(人工呼吸器!$C$30:$C$74,B311,人工呼吸器!$K$30:$K$74)*((人工呼吸器!$H$3-人工呼吸器!$I$3)/人工呼吸器!$H$3),0)</f>
        <v>0</v>
      </c>
      <c r="F311" s="306">
        <f t="shared" si="75"/>
        <v>0</v>
      </c>
      <c r="G311" s="306">
        <f t="shared" si="76"/>
        <v>0</v>
      </c>
      <c r="H311" s="306">
        <f t="shared" si="77"/>
        <v>0</v>
      </c>
      <c r="I311" s="305">
        <f>IFERROR(SUMIF(簡易陰圧装置!$C$30:$C$74,B311,簡易陰圧装置!$K$30:$K$74)*((簡易陰圧装置!$H$3-簡易陰圧装置!$I$3)/簡易陰圧装置!$H$3),0)</f>
        <v>0</v>
      </c>
      <c r="J311" s="306">
        <f t="shared" si="78"/>
        <v>0</v>
      </c>
      <c r="K311" s="305">
        <f>IFERROR(SUMIF(簡易ベッド!$C$30:$C$74,B311,簡易ベッド!$K$30:$K$74)*((簡易ベッド!$H$3-簡易ベッド!$I$3)/簡易ベッド!$H$3),0)</f>
        <v>0</v>
      </c>
      <c r="L311" s="306">
        <f t="shared" si="79"/>
        <v>0</v>
      </c>
      <c r="M311" s="305">
        <f>IFERROR(SUMIF(体外式膜型人工肺!$C$30:$C$74,B311,体外式膜型人工肺!$K$30:$K$74)*((体外式膜型人工肺!$H$3-体外式膜型人工肺!$I$3)/体外式膜型人工肺!$H$3),0)</f>
        <v>0</v>
      </c>
      <c r="N311" s="306">
        <f t="shared" si="80"/>
        <v>0</v>
      </c>
      <c r="O311" s="306">
        <f t="shared" si="81"/>
        <v>0</v>
      </c>
      <c r="P311" s="306">
        <f t="shared" si="82"/>
        <v>0</v>
      </c>
      <c r="Q311" s="305">
        <f>IFERROR(SUMIF(紫外線照射装置!$C$30:$C$74,B311,紫外線照射装置!$K$30:$K$74)*((紫外線照射装置!$H$3-紫外線照射装置!$I$3)/紫外線照射装置!$H$3),0)</f>
        <v>0</v>
      </c>
      <c r="R311" s="306">
        <f t="shared" si="83"/>
        <v>0</v>
      </c>
      <c r="S311" s="419">
        <f t="shared" si="84"/>
        <v>0</v>
      </c>
      <c r="T311" s="305">
        <f>IFERROR(SUMIF(超音波画像診断装置!$C$30:$C$74,B311,超音波画像診断装置!$K$30:$K$74)*((超音波画像診断装置!$H$3-超音波画像診断装置!$I$3)/超音波画像診断装置!$H$3),0)</f>
        <v>0</v>
      </c>
      <c r="U311" s="306">
        <f t="shared" si="85"/>
        <v>0</v>
      </c>
      <c r="V311" s="305">
        <f>IFERROR(SUMIF(血液浄化装置!$C$30:$C$74,B311,血液浄化装置!$K$30:$K$74)*((血液浄化装置!$H$3-血液浄化装置!$I$3)/血液浄化装置!$H$3),0)</f>
        <v>0</v>
      </c>
      <c r="W311" s="306">
        <f t="shared" si="86"/>
        <v>0</v>
      </c>
      <c r="X311" s="305">
        <f>IFERROR(SUMIF(気管支鏡!$C$30:$C$74,B311,気管支鏡!$K$30:$K$74)*((気管支鏡!$H$3-気管支鏡!$I$3)/気管支鏡!$H$3),0)</f>
        <v>0</v>
      </c>
      <c r="Y311" s="306">
        <f t="shared" si="72"/>
        <v>0</v>
      </c>
      <c r="Z311" s="305">
        <f>IFERROR(SUMIF(CT撮影装置!$C$30:$C$74,B311,CT撮影装置!$K$30:$K$74)*((CT撮影装置!$H$3-CT撮影装置!$I$3)/CT撮影装置!$H$3),0)</f>
        <v>0</v>
      </c>
      <c r="AA311" s="306">
        <f t="shared" si="87"/>
        <v>0</v>
      </c>
      <c r="AB311" s="305">
        <f>IFERROR(SUMIF(生体情報モニタ!$C$30:$C$74,B311,生体情報モニタ!$K$30:$K$74)*((生体情報モニタ!$H$3-生体情報モニタ!$I$3)/生体情報モニタ!$H$3),0)</f>
        <v>0</v>
      </c>
      <c r="AC311" s="306">
        <f t="shared" si="73"/>
        <v>0</v>
      </c>
      <c r="AD311" s="305">
        <f>IFERROR(SUMIF(分娩監視装置!$C$30:$C$74,B311,分娩監視装置!$K$30:$K$74)*((分娩監視装置!$H$3-分娩監視装置!$I$3)/分娩監視装置!$H$3),0)</f>
        <v>0</v>
      </c>
      <c r="AE311" s="306">
        <f t="shared" si="88"/>
        <v>0</v>
      </c>
      <c r="AF311" s="305">
        <f>IFERROR(SUMIF(新生児モニタ!$C$30:$C$74,B311,新生児モニタ!$K$30:$K$74)*((新生児モニタ!$H$3-新生児モニタ!$I$3)/新生児モニタ!$H$3),0)</f>
        <v>0</v>
      </c>
      <c r="AG311" s="306">
        <f t="shared" si="89"/>
        <v>0</v>
      </c>
    </row>
    <row r="312" spans="2:33">
      <c r="B312" s="283" t="s">
        <v>1125</v>
      </c>
      <c r="C312" s="305">
        <f>IFERROR(SUMIF(初度設備!$C$30:$C$74,B312,初度設備!$K$30:$K$74)*((初度設備!$H$3-初度設備!$I$3)/初度設備!$H$3),0)</f>
        <v>0</v>
      </c>
      <c r="D312" s="306">
        <f t="shared" si="74"/>
        <v>0</v>
      </c>
      <c r="E312" s="305">
        <f>IFERROR(SUMIF(人工呼吸器!$C$30:$C$74,B312,人工呼吸器!$K$30:$K$74)*((人工呼吸器!$H$3-人工呼吸器!$I$3)/人工呼吸器!$H$3),0)</f>
        <v>0</v>
      </c>
      <c r="F312" s="306">
        <f t="shared" si="75"/>
        <v>0</v>
      </c>
      <c r="G312" s="306">
        <f t="shared" si="76"/>
        <v>0</v>
      </c>
      <c r="H312" s="306">
        <f t="shared" si="77"/>
        <v>0</v>
      </c>
      <c r="I312" s="305">
        <f>IFERROR(SUMIF(簡易陰圧装置!$C$30:$C$74,B312,簡易陰圧装置!$K$30:$K$74)*((簡易陰圧装置!$H$3-簡易陰圧装置!$I$3)/簡易陰圧装置!$H$3),0)</f>
        <v>0</v>
      </c>
      <c r="J312" s="306">
        <f t="shared" si="78"/>
        <v>0</v>
      </c>
      <c r="K312" s="305">
        <f>IFERROR(SUMIF(簡易ベッド!$C$30:$C$74,B312,簡易ベッド!$K$30:$K$74)*((簡易ベッド!$H$3-簡易ベッド!$I$3)/簡易ベッド!$H$3),0)</f>
        <v>0</v>
      </c>
      <c r="L312" s="306">
        <f t="shared" si="79"/>
        <v>0</v>
      </c>
      <c r="M312" s="305">
        <f>IFERROR(SUMIF(体外式膜型人工肺!$C$30:$C$74,B312,体外式膜型人工肺!$K$30:$K$74)*((体外式膜型人工肺!$H$3-体外式膜型人工肺!$I$3)/体外式膜型人工肺!$H$3),0)</f>
        <v>0</v>
      </c>
      <c r="N312" s="306">
        <f t="shared" si="80"/>
        <v>0</v>
      </c>
      <c r="O312" s="306">
        <f t="shared" si="81"/>
        <v>0</v>
      </c>
      <c r="P312" s="306">
        <f t="shared" si="82"/>
        <v>0</v>
      </c>
      <c r="Q312" s="305">
        <f>IFERROR(SUMIF(紫外線照射装置!$C$30:$C$74,B312,紫外線照射装置!$K$30:$K$74)*((紫外線照射装置!$H$3-紫外線照射装置!$I$3)/紫外線照射装置!$H$3),0)</f>
        <v>0</v>
      </c>
      <c r="R312" s="306">
        <f t="shared" si="83"/>
        <v>0</v>
      </c>
      <c r="S312" s="419">
        <f t="shared" si="84"/>
        <v>0</v>
      </c>
      <c r="T312" s="305">
        <f>IFERROR(SUMIF(超音波画像診断装置!$C$30:$C$74,B312,超音波画像診断装置!$K$30:$K$74)*((超音波画像診断装置!$H$3-超音波画像診断装置!$I$3)/超音波画像診断装置!$H$3),0)</f>
        <v>0</v>
      </c>
      <c r="U312" s="306">
        <f t="shared" si="85"/>
        <v>0</v>
      </c>
      <c r="V312" s="305">
        <f>IFERROR(SUMIF(血液浄化装置!$C$30:$C$74,B312,血液浄化装置!$K$30:$K$74)*((血液浄化装置!$H$3-血液浄化装置!$I$3)/血液浄化装置!$H$3),0)</f>
        <v>0</v>
      </c>
      <c r="W312" s="306">
        <f t="shared" si="86"/>
        <v>0</v>
      </c>
      <c r="X312" s="305">
        <f>IFERROR(SUMIF(気管支鏡!$C$30:$C$74,B312,気管支鏡!$K$30:$K$74)*((気管支鏡!$H$3-気管支鏡!$I$3)/気管支鏡!$H$3),0)</f>
        <v>0</v>
      </c>
      <c r="Y312" s="306">
        <f t="shared" si="72"/>
        <v>0</v>
      </c>
      <c r="Z312" s="305">
        <f>IFERROR(SUMIF(CT撮影装置!$C$30:$C$74,B312,CT撮影装置!$K$30:$K$74)*((CT撮影装置!$H$3-CT撮影装置!$I$3)/CT撮影装置!$H$3),0)</f>
        <v>0</v>
      </c>
      <c r="AA312" s="306">
        <f t="shared" si="87"/>
        <v>0</v>
      </c>
      <c r="AB312" s="305">
        <f>IFERROR(SUMIF(生体情報モニタ!$C$30:$C$74,B312,生体情報モニタ!$K$30:$K$74)*((生体情報モニタ!$H$3-生体情報モニタ!$I$3)/生体情報モニタ!$H$3),0)</f>
        <v>0</v>
      </c>
      <c r="AC312" s="306">
        <f t="shared" si="73"/>
        <v>0</v>
      </c>
      <c r="AD312" s="305">
        <f>IFERROR(SUMIF(分娩監視装置!$C$30:$C$74,B312,分娩監視装置!$K$30:$K$74)*((分娩監視装置!$H$3-分娩監視装置!$I$3)/分娩監視装置!$H$3),0)</f>
        <v>0</v>
      </c>
      <c r="AE312" s="306">
        <f t="shared" si="88"/>
        <v>0</v>
      </c>
      <c r="AF312" s="305">
        <f>IFERROR(SUMIF(新生児モニタ!$C$30:$C$74,B312,新生児モニタ!$K$30:$K$74)*((新生児モニタ!$H$3-新生児モニタ!$I$3)/新生児モニタ!$H$3),0)</f>
        <v>0</v>
      </c>
      <c r="AG312" s="306">
        <f t="shared" si="89"/>
        <v>0</v>
      </c>
    </row>
    <row r="313" spans="2:33">
      <c r="B313" s="283" t="s">
        <v>1126</v>
      </c>
      <c r="C313" s="305">
        <f>IFERROR(SUMIF(初度設備!$C$30:$C$74,B313,初度設備!$K$30:$K$74)*((初度設備!$H$3-初度設備!$I$3)/初度設備!$H$3),0)</f>
        <v>0</v>
      </c>
      <c r="D313" s="306">
        <f t="shared" si="74"/>
        <v>0</v>
      </c>
      <c r="E313" s="305">
        <f>IFERROR(SUMIF(人工呼吸器!$C$30:$C$74,B313,人工呼吸器!$K$30:$K$74)*((人工呼吸器!$H$3-人工呼吸器!$I$3)/人工呼吸器!$H$3),0)</f>
        <v>0</v>
      </c>
      <c r="F313" s="306">
        <f t="shared" si="75"/>
        <v>0</v>
      </c>
      <c r="G313" s="306">
        <f t="shared" si="76"/>
        <v>0</v>
      </c>
      <c r="H313" s="306">
        <f t="shared" si="77"/>
        <v>0</v>
      </c>
      <c r="I313" s="305">
        <f>IFERROR(SUMIF(簡易陰圧装置!$C$30:$C$74,B313,簡易陰圧装置!$K$30:$K$74)*((簡易陰圧装置!$H$3-簡易陰圧装置!$I$3)/簡易陰圧装置!$H$3),0)</f>
        <v>0</v>
      </c>
      <c r="J313" s="306">
        <f t="shared" si="78"/>
        <v>0</v>
      </c>
      <c r="K313" s="305">
        <f>IFERROR(SUMIF(簡易ベッド!$C$30:$C$74,B313,簡易ベッド!$K$30:$K$74)*((簡易ベッド!$H$3-簡易ベッド!$I$3)/簡易ベッド!$H$3),0)</f>
        <v>0</v>
      </c>
      <c r="L313" s="306">
        <f t="shared" si="79"/>
        <v>0</v>
      </c>
      <c r="M313" s="305">
        <f>IFERROR(SUMIF(体外式膜型人工肺!$C$30:$C$74,B313,体外式膜型人工肺!$K$30:$K$74)*((体外式膜型人工肺!$H$3-体外式膜型人工肺!$I$3)/体外式膜型人工肺!$H$3),0)</f>
        <v>0</v>
      </c>
      <c r="N313" s="306">
        <f t="shared" si="80"/>
        <v>0</v>
      </c>
      <c r="O313" s="306">
        <f t="shared" si="81"/>
        <v>0</v>
      </c>
      <c r="P313" s="306">
        <f t="shared" si="82"/>
        <v>0</v>
      </c>
      <c r="Q313" s="305">
        <f>IFERROR(SUMIF(紫外線照射装置!$C$30:$C$74,B313,紫外線照射装置!$K$30:$K$74)*((紫外線照射装置!$H$3-紫外線照射装置!$I$3)/紫外線照射装置!$H$3),0)</f>
        <v>0</v>
      </c>
      <c r="R313" s="306">
        <f t="shared" si="83"/>
        <v>0</v>
      </c>
      <c r="S313" s="419">
        <f t="shared" si="84"/>
        <v>0</v>
      </c>
      <c r="T313" s="305">
        <f>IFERROR(SUMIF(超音波画像診断装置!$C$30:$C$74,B313,超音波画像診断装置!$K$30:$K$74)*((超音波画像診断装置!$H$3-超音波画像診断装置!$I$3)/超音波画像診断装置!$H$3),0)</f>
        <v>0</v>
      </c>
      <c r="U313" s="306">
        <f t="shared" si="85"/>
        <v>0</v>
      </c>
      <c r="V313" s="305">
        <f>IFERROR(SUMIF(血液浄化装置!$C$30:$C$74,B313,血液浄化装置!$K$30:$K$74)*((血液浄化装置!$H$3-血液浄化装置!$I$3)/血液浄化装置!$H$3),0)</f>
        <v>0</v>
      </c>
      <c r="W313" s="306">
        <f t="shared" si="86"/>
        <v>0</v>
      </c>
      <c r="X313" s="305">
        <f>IFERROR(SUMIF(気管支鏡!$C$30:$C$74,B313,気管支鏡!$K$30:$K$74)*((気管支鏡!$H$3-気管支鏡!$I$3)/気管支鏡!$H$3),0)</f>
        <v>0</v>
      </c>
      <c r="Y313" s="306">
        <f t="shared" si="72"/>
        <v>0</v>
      </c>
      <c r="Z313" s="305">
        <f>IFERROR(SUMIF(CT撮影装置!$C$30:$C$74,B313,CT撮影装置!$K$30:$K$74)*((CT撮影装置!$H$3-CT撮影装置!$I$3)/CT撮影装置!$H$3),0)</f>
        <v>0</v>
      </c>
      <c r="AA313" s="306">
        <f t="shared" si="87"/>
        <v>0</v>
      </c>
      <c r="AB313" s="305">
        <f>IFERROR(SUMIF(生体情報モニタ!$C$30:$C$74,B313,生体情報モニタ!$K$30:$K$74)*((生体情報モニタ!$H$3-生体情報モニタ!$I$3)/生体情報モニタ!$H$3),0)</f>
        <v>0</v>
      </c>
      <c r="AC313" s="306">
        <f t="shared" si="73"/>
        <v>0</v>
      </c>
      <c r="AD313" s="305">
        <f>IFERROR(SUMIF(分娩監視装置!$C$30:$C$74,B313,分娩監視装置!$K$30:$K$74)*((分娩監視装置!$H$3-分娩監視装置!$I$3)/分娩監視装置!$H$3),0)</f>
        <v>0</v>
      </c>
      <c r="AE313" s="306">
        <f t="shared" si="88"/>
        <v>0</v>
      </c>
      <c r="AF313" s="305">
        <f>IFERROR(SUMIF(新生児モニタ!$C$30:$C$74,B313,新生児モニタ!$K$30:$K$74)*((新生児モニタ!$H$3-新生児モニタ!$I$3)/新生児モニタ!$H$3),0)</f>
        <v>0</v>
      </c>
      <c r="AG313" s="306">
        <f t="shared" si="89"/>
        <v>0</v>
      </c>
    </row>
    <row r="314" spans="2:33">
      <c r="B314" s="283" t="s">
        <v>1127</v>
      </c>
      <c r="C314" s="305">
        <f>IFERROR(SUMIF(初度設備!$C$30:$C$74,B314,初度設備!$K$30:$K$74)*((初度設備!$H$3-初度設備!$I$3)/初度設備!$H$3),0)</f>
        <v>0</v>
      </c>
      <c r="D314" s="306">
        <f t="shared" si="74"/>
        <v>0</v>
      </c>
      <c r="E314" s="305">
        <f>IFERROR(SUMIF(人工呼吸器!$C$30:$C$74,B314,人工呼吸器!$K$30:$K$74)*((人工呼吸器!$H$3-人工呼吸器!$I$3)/人工呼吸器!$H$3),0)</f>
        <v>0</v>
      </c>
      <c r="F314" s="306">
        <f t="shared" si="75"/>
        <v>0</v>
      </c>
      <c r="G314" s="306">
        <f t="shared" si="76"/>
        <v>0</v>
      </c>
      <c r="H314" s="306">
        <f t="shared" si="77"/>
        <v>0</v>
      </c>
      <c r="I314" s="305">
        <f>IFERROR(SUMIF(簡易陰圧装置!$C$30:$C$74,B314,簡易陰圧装置!$K$30:$K$74)*((簡易陰圧装置!$H$3-簡易陰圧装置!$I$3)/簡易陰圧装置!$H$3),0)</f>
        <v>0</v>
      </c>
      <c r="J314" s="306">
        <f t="shared" si="78"/>
        <v>0</v>
      </c>
      <c r="K314" s="305">
        <f>IFERROR(SUMIF(簡易ベッド!$C$30:$C$74,B314,簡易ベッド!$K$30:$K$74)*((簡易ベッド!$H$3-簡易ベッド!$I$3)/簡易ベッド!$H$3),0)</f>
        <v>0</v>
      </c>
      <c r="L314" s="306">
        <f t="shared" si="79"/>
        <v>0</v>
      </c>
      <c r="M314" s="305">
        <f>IFERROR(SUMIF(体外式膜型人工肺!$C$30:$C$74,B314,体外式膜型人工肺!$K$30:$K$74)*((体外式膜型人工肺!$H$3-体外式膜型人工肺!$I$3)/体外式膜型人工肺!$H$3),0)</f>
        <v>0</v>
      </c>
      <c r="N314" s="306">
        <f t="shared" si="80"/>
        <v>0</v>
      </c>
      <c r="O314" s="306">
        <f t="shared" si="81"/>
        <v>0</v>
      </c>
      <c r="P314" s="306">
        <f t="shared" si="82"/>
        <v>0</v>
      </c>
      <c r="Q314" s="305">
        <f>IFERROR(SUMIF(紫外線照射装置!$C$30:$C$74,B314,紫外線照射装置!$K$30:$K$74)*((紫外線照射装置!$H$3-紫外線照射装置!$I$3)/紫外線照射装置!$H$3),0)</f>
        <v>0</v>
      </c>
      <c r="R314" s="306">
        <f t="shared" si="83"/>
        <v>0</v>
      </c>
      <c r="S314" s="419">
        <f t="shared" si="84"/>
        <v>0</v>
      </c>
      <c r="T314" s="305">
        <f>IFERROR(SUMIF(超音波画像診断装置!$C$30:$C$74,B314,超音波画像診断装置!$K$30:$K$74)*((超音波画像診断装置!$H$3-超音波画像診断装置!$I$3)/超音波画像診断装置!$H$3),0)</f>
        <v>0</v>
      </c>
      <c r="U314" s="306">
        <f t="shared" si="85"/>
        <v>0</v>
      </c>
      <c r="V314" s="305">
        <f>IFERROR(SUMIF(血液浄化装置!$C$30:$C$74,B314,血液浄化装置!$K$30:$K$74)*((血液浄化装置!$H$3-血液浄化装置!$I$3)/血液浄化装置!$H$3),0)</f>
        <v>0</v>
      </c>
      <c r="W314" s="306">
        <f t="shared" si="86"/>
        <v>0</v>
      </c>
      <c r="X314" s="305">
        <f>IFERROR(SUMIF(気管支鏡!$C$30:$C$74,B314,気管支鏡!$K$30:$K$74)*((気管支鏡!$H$3-気管支鏡!$I$3)/気管支鏡!$H$3),0)</f>
        <v>0</v>
      </c>
      <c r="Y314" s="306">
        <f t="shared" si="72"/>
        <v>0</v>
      </c>
      <c r="Z314" s="305">
        <f>IFERROR(SUMIF(CT撮影装置!$C$30:$C$74,B314,CT撮影装置!$K$30:$K$74)*((CT撮影装置!$H$3-CT撮影装置!$I$3)/CT撮影装置!$H$3),0)</f>
        <v>0</v>
      </c>
      <c r="AA314" s="306">
        <f t="shared" si="87"/>
        <v>0</v>
      </c>
      <c r="AB314" s="305">
        <f>IFERROR(SUMIF(生体情報モニタ!$C$30:$C$74,B314,生体情報モニタ!$K$30:$K$74)*((生体情報モニタ!$H$3-生体情報モニタ!$I$3)/生体情報モニタ!$H$3),0)</f>
        <v>0</v>
      </c>
      <c r="AC314" s="306">
        <f t="shared" si="73"/>
        <v>0</v>
      </c>
      <c r="AD314" s="305">
        <f>IFERROR(SUMIF(分娩監視装置!$C$30:$C$74,B314,分娩監視装置!$K$30:$K$74)*((分娩監視装置!$H$3-分娩監視装置!$I$3)/分娩監視装置!$H$3),0)</f>
        <v>0</v>
      </c>
      <c r="AE314" s="306">
        <f t="shared" si="88"/>
        <v>0</v>
      </c>
      <c r="AF314" s="305">
        <f>IFERROR(SUMIF(新生児モニタ!$C$30:$C$74,B314,新生児モニタ!$K$30:$K$74)*((新生児モニタ!$H$3-新生児モニタ!$I$3)/新生児モニタ!$H$3),0)</f>
        <v>0</v>
      </c>
      <c r="AG314" s="306">
        <f t="shared" si="89"/>
        <v>0</v>
      </c>
    </row>
    <row r="315" spans="2:33">
      <c r="B315" s="283" t="s">
        <v>1128</v>
      </c>
      <c r="C315" s="305">
        <f>IFERROR(SUMIF(初度設備!$C$30:$C$74,B315,初度設備!$K$30:$K$74)*((初度設備!$H$3-初度設備!$I$3)/初度設備!$H$3),0)</f>
        <v>0</v>
      </c>
      <c r="D315" s="306">
        <f t="shared" si="74"/>
        <v>0</v>
      </c>
      <c r="E315" s="305">
        <f>IFERROR(SUMIF(人工呼吸器!$C$30:$C$74,B315,人工呼吸器!$K$30:$K$74)*((人工呼吸器!$H$3-人工呼吸器!$I$3)/人工呼吸器!$H$3),0)</f>
        <v>0</v>
      </c>
      <c r="F315" s="306">
        <f t="shared" si="75"/>
        <v>0</v>
      </c>
      <c r="G315" s="306">
        <f t="shared" si="76"/>
        <v>0</v>
      </c>
      <c r="H315" s="306">
        <f t="shared" si="77"/>
        <v>0</v>
      </c>
      <c r="I315" s="305">
        <f>IFERROR(SUMIF(簡易陰圧装置!$C$30:$C$74,B315,簡易陰圧装置!$K$30:$K$74)*((簡易陰圧装置!$H$3-簡易陰圧装置!$I$3)/簡易陰圧装置!$H$3),0)</f>
        <v>0</v>
      </c>
      <c r="J315" s="306">
        <f t="shared" si="78"/>
        <v>0</v>
      </c>
      <c r="K315" s="305">
        <f>IFERROR(SUMIF(簡易ベッド!$C$30:$C$74,B315,簡易ベッド!$K$30:$K$74)*((簡易ベッド!$H$3-簡易ベッド!$I$3)/簡易ベッド!$H$3),0)</f>
        <v>0</v>
      </c>
      <c r="L315" s="306">
        <f t="shared" si="79"/>
        <v>0</v>
      </c>
      <c r="M315" s="305">
        <f>IFERROR(SUMIF(体外式膜型人工肺!$C$30:$C$74,B315,体外式膜型人工肺!$K$30:$K$74)*((体外式膜型人工肺!$H$3-体外式膜型人工肺!$I$3)/体外式膜型人工肺!$H$3),0)</f>
        <v>0</v>
      </c>
      <c r="N315" s="306">
        <f t="shared" si="80"/>
        <v>0</v>
      </c>
      <c r="O315" s="306">
        <f t="shared" si="81"/>
        <v>0</v>
      </c>
      <c r="P315" s="306">
        <f t="shared" si="82"/>
        <v>0</v>
      </c>
      <c r="Q315" s="305">
        <f>IFERROR(SUMIF(紫外線照射装置!$C$30:$C$74,B315,紫外線照射装置!$K$30:$K$74)*((紫外線照射装置!$H$3-紫外線照射装置!$I$3)/紫外線照射装置!$H$3),0)</f>
        <v>0</v>
      </c>
      <c r="R315" s="306">
        <f t="shared" si="83"/>
        <v>0</v>
      </c>
      <c r="S315" s="419">
        <f t="shared" si="84"/>
        <v>0</v>
      </c>
      <c r="T315" s="305">
        <f>IFERROR(SUMIF(超音波画像診断装置!$C$30:$C$74,B315,超音波画像診断装置!$K$30:$K$74)*((超音波画像診断装置!$H$3-超音波画像診断装置!$I$3)/超音波画像診断装置!$H$3),0)</f>
        <v>0</v>
      </c>
      <c r="U315" s="306">
        <f t="shared" si="85"/>
        <v>0</v>
      </c>
      <c r="V315" s="305">
        <f>IFERROR(SUMIF(血液浄化装置!$C$30:$C$74,B315,血液浄化装置!$K$30:$K$74)*((血液浄化装置!$H$3-血液浄化装置!$I$3)/血液浄化装置!$H$3),0)</f>
        <v>0</v>
      </c>
      <c r="W315" s="306">
        <f t="shared" si="86"/>
        <v>0</v>
      </c>
      <c r="X315" s="305">
        <f>IFERROR(SUMIF(気管支鏡!$C$30:$C$74,B315,気管支鏡!$K$30:$K$74)*((気管支鏡!$H$3-気管支鏡!$I$3)/気管支鏡!$H$3),0)</f>
        <v>0</v>
      </c>
      <c r="Y315" s="306">
        <f t="shared" si="72"/>
        <v>0</v>
      </c>
      <c r="Z315" s="305">
        <f>IFERROR(SUMIF(CT撮影装置!$C$30:$C$74,B315,CT撮影装置!$K$30:$K$74)*((CT撮影装置!$H$3-CT撮影装置!$I$3)/CT撮影装置!$H$3),0)</f>
        <v>0</v>
      </c>
      <c r="AA315" s="306">
        <f t="shared" si="87"/>
        <v>0</v>
      </c>
      <c r="AB315" s="305">
        <f>IFERROR(SUMIF(生体情報モニタ!$C$30:$C$74,B315,生体情報モニタ!$K$30:$K$74)*((生体情報モニタ!$H$3-生体情報モニタ!$I$3)/生体情報モニタ!$H$3),0)</f>
        <v>0</v>
      </c>
      <c r="AC315" s="306">
        <f t="shared" si="73"/>
        <v>0</v>
      </c>
      <c r="AD315" s="305">
        <f>IFERROR(SUMIF(分娩監視装置!$C$30:$C$74,B315,分娩監視装置!$K$30:$K$74)*((分娩監視装置!$H$3-分娩監視装置!$I$3)/分娩監視装置!$H$3),0)</f>
        <v>0</v>
      </c>
      <c r="AE315" s="306">
        <f t="shared" si="88"/>
        <v>0</v>
      </c>
      <c r="AF315" s="305">
        <f>IFERROR(SUMIF(新生児モニタ!$C$30:$C$74,B315,新生児モニタ!$K$30:$K$74)*((新生児モニタ!$H$3-新生児モニタ!$I$3)/新生児モニタ!$H$3),0)</f>
        <v>0</v>
      </c>
      <c r="AG315" s="306">
        <f t="shared" si="89"/>
        <v>0</v>
      </c>
    </row>
    <row r="316" spans="2:33">
      <c r="B316" s="283" t="s">
        <v>1129</v>
      </c>
      <c r="C316" s="305">
        <f>IFERROR(SUMIF(初度設備!$C$30:$C$74,B316,初度設備!$K$30:$K$74)*((初度設備!$H$3-初度設備!$I$3)/初度設備!$H$3),0)</f>
        <v>0</v>
      </c>
      <c r="D316" s="306">
        <f t="shared" si="74"/>
        <v>0</v>
      </c>
      <c r="E316" s="305">
        <f>IFERROR(SUMIF(人工呼吸器!$C$30:$C$74,B316,人工呼吸器!$K$30:$K$74)*((人工呼吸器!$H$3-人工呼吸器!$I$3)/人工呼吸器!$H$3),0)</f>
        <v>0</v>
      </c>
      <c r="F316" s="306">
        <f t="shared" si="75"/>
        <v>0</v>
      </c>
      <c r="G316" s="306">
        <f t="shared" si="76"/>
        <v>0</v>
      </c>
      <c r="H316" s="306">
        <f t="shared" si="77"/>
        <v>0</v>
      </c>
      <c r="I316" s="305">
        <f>IFERROR(SUMIF(簡易陰圧装置!$C$30:$C$74,B316,簡易陰圧装置!$K$30:$K$74)*((簡易陰圧装置!$H$3-簡易陰圧装置!$I$3)/簡易陰圧装置!$H$3),0)</f>
        <v>0</v>
      </c>
      <c r="J316" s="306">
        <f t="shared" si="78"/>
        <v>0</v>
      </c>
      <c r="K316" s="305">
        <f>IFERROR(SUMIF(簡易ベッド!$C$30:$C$74,B316,簡易ベッド!$K$30:$K$74)*((簡易ベッド!$H$3-簡易ベッド!$I$3)/簡易ベッド!$H$3),0)</f>
        <v>0</v>
      </c>
      <c r="L316" s="306">
        <f t="shared" si="79"/>
        <v>0</v>
      </c>
      <c r="M316" s="305">
        <f>IFERROR(SUMIF(体外式膜型人工肺!$C$30:$C$74,B316,体外式膜型人工肺!$K$30:$K$74)*((体外式膜型人工肺!$H$3-体外式膜型人工肺!$I$3)/体外式膜型人工肺!$H$3),0)</f>
        <v>0</v>
      </c>
      <c r="N316" s="306">
        <f t="shared" si="80"/>
        <v>0</v>
      </c>
      <c r="O316" s="306">
        <f t="shared" si="81"/>
        <v>0</v>
      </c>
      <c r="P316" s="306">
        <f t="shared" si="82"/>
        <v>0</v>
      </c>
      <c r="Q316" s="305">
        <f>IFERROR(SUMIF(紫外線照射装置!$C$30:$C$74,B316,紫外線照射装置!$K$30:$K$74)*((紫外線照射装置!$H$3-紫外線照射装置!$I$3)/紫外線照射装置!$H$3),0)</f>
        <v>0</v>
      </c>
      <c r="R316" s="306">
        <f t="shared" si="83"/>
        <v>0</v>
      </c>
      <c r="S316" s="419">
        <f t="shared" si="84"/>
        <v>0</v>
      </c>
      <c r="T316" s="305">
        <f>IFERROR(SUMIF(超音波画像診断装置!$C$30:$C$74,B316,超音波画像診断装置!$K$30:$K$74)*((超音波画像診断装置!$H$3-超音波画像診断装置!$I$3)/超音波画像診断装置!$H$3),0)</f>
        <v>0</v>
      </c>
      <c r="U316" s="306">
        <f t="shared" si="85"/>
        <v>0</v>
      </c>
      <c r="V316" s="305">
        <f>IFERROR(SUMIF(血液浄化装置!$C$30:$C$74,B316,血液浄化装置!$K$30:$K$74)*((血液浄化装置!$H$3-血液浄化装置!$I$3)/血液浄化装置!$H$3),0)</f>
        <v>0</v>
      </c>
      <c r="W316" s="306">
        <f t="shared" si="86"/>
        <v>0</v>
      </c>
      <c r="X316" s="305">
        <f>IFERROR(SUMIF(気管支鏡!$C$30:$C$74,B316,気管支鏡!$K$30:$K$74)*((気管支鏡!$H$3-気管支鏡!$I$3)/気管支鏡!$H$3),0)</f>
        <v>0</v>
      </c>
      <c r="Y316" s="306">
        <f t="shared" si="72"/>
        <v>0</v>
      </c>
      <c r="Z316" s="305">
        <f>IFERROR(SUMIF(CT撮影装置!$C$30:$C$74,B316,CT撮影装置!$K$30:$K$74)*((CT撮影装置!$H$3-CT撮影装置!$I$3)/CT撮影装置!$H$3),0)</f>
        <v>0</v>
      </c>
      <c r="AA316" s="306">
        <f t="shared" si="87"/>
        <v>0</v>
      </c>
      <c r="AB316" s="305">
        <f>IFERROR(SUMIF(生体情報モニタ!$C$30:$C$74,B316,生体情報モニタ!$K$30:$K$74)*((生体情報モニタ!$H$3-生体情報モニタ!$I$3)/生体情報モニタ!$H$3),0)</f>
        <v>0</v>
      </c>
      <c r="AC316" s="306">
        <f t="shared" si="73"/>
        <v>0</v>
      </c>
      <c r="AD316" s="305">
        <f>IFERROR(SUMIF(分娩監視装置!$C$30:$C$74,B316,分娩監視装置!$K$30:$K$74)*((分娩監視装置!$H$3-分娩監視装置!$I$3)/分娩監視装置!$H$3),0)</f>
        <v>0</v>
      </c>
      <c r="AE316" s="306">
        <f t="shared" si="88"/>
        <v>0</v>
      </c>
      <c r="AF316" s="305">
        <f>IFERROR(SUMIF(新生児モニタ!$C$30:$C$74,B316,新生児モニタ!$K$30:$K$74)*((新生児モニタ!$H$3-新生児モニタ!$I$3)/新生児モニタ!$H$3),0)</f>
        <v>0</v>
      </c>
      <c r="AG316" s="306">
        <f t="shared" si="89"/>
        <v>0</v>
      </c>
    </row>
    <row r="317" spans="2:33">
      <c r="B317" s="283" t="s">
        <v>1130</v>
      </c>
      <c r="C317" s="305">
        <f>IFERROR(SUMIF(初度設備!$C$30:$C$74,B317,初度設備!$K$30:$K$74)*((初度設備!$H$3-初度設備!$I$3)/初度設備!$H$3),0)</f>
        <v>0</v>
      </c>
      <c r="D317" s="306">
        <f t="shared" si="74"/>
        <v>0</v>
      </c>
      <c r="E317" s="305">
        <f>IFERROR(SUMIF(人工呼吸器!$C$30:$C$74,B317,人工呼吸器!$K$30:$K$74)*((人工呼吸器!$H$3-人工呼吸器!$I$3)/人工呼吸器!$H$3),0)</f>
        <v>0</v>
      </c>
      <c r="F317" s="306">
        <f t="shared" si="75"/>
        <v>0</v>
      </c>
      <c r="G317" s="306">
        <f t="shared" si="76"/>
        <v>0</v>
      </c>
      <c r="H317" s="306">
        <f t="shared" si="77"/>
        <v>0</v>
      </c>
      <c r="I317" s="305">
        <f>IFERROR(SUMIF(簡易陰圧装置!$C$30:$C$74,B317,簡易陰圧装置!$K$30:$K$74)*((簡易陰圧装置!$H$3-簡易陰圧装置!$I$3)/簡易陰圧装置!$H$3),0)</f>
        <v>0</v>
      </c>
      <c r="J317" s="306">
        <f t="shared" si="78"/>
        <v>0</v>
      </c>
      <c r="K317" s="305">
        <f>IFERROR(SUMIF(簡易ベッド!$C$30:$C$74,B317,簡易ベッド!$K$30:$K$74)*((簡易ベッド!$H$3-簡易ベッド!$I$3)/簡易ベッド!$H$3),0)</f>
        <v>0</v>
      </c>
      <c r="L317" s="306">
        <f t="shared" si="79"/>
        <v>0</v>
      </c>
      <c r="M317" s="305">
        <f>IFERROR(SUMIF(体外式膜型人工肺!$C$30:$C$74,B317,体外式膜型人工肺!$K$30:$K$74)*((体外式膜型人工肺!$H$3-体外式膜型人工肺!$I$3)/体外式膜型人工肺!$H$3),0)</f>
        <v>0</v>
      </c>
      <c r="N317" s="306">
        <f t="shared" si="80"/>
        <v>0</v>
      </c>
      <c r="O317" s="306">
        <f t="shared" si="81"/>
        <v>0</v>
      </c>
      <c r="P317" s="306">
        <f t="shared" si="82"/>
        <v>0</v>
      </c>
      <c r="Q317" s="305">
        <f>IFERROR(SUMIF(紫外線照射装置!$C$30:$C$74,B317,紫外線照射装置!$K$30:$K$74)*((紫外線照射装置!$H$3-紫外線照射装置!$I$3)/紫外線照射装置!$H$3),0)</f>
        <v>0</v>
      </c>
      <c r="R317" s="306">
        <f t="shared" si="83"/>
        <v>0</v>
      </c>
      <c r="S317" s="419">
        <f t="shared" si="84"/>
        <v>0</v>
      </c>
      <c r="T317" s="305">
        <f>IFERROR(SUMIF(超音波画像診断装置!$C$30:$C$74,B317,超音波画像診断装置!$K$30:$K$74)*((超音波画像診断装置!$H$3-超音波画像診断装置!$I$3)/超音波画像診断装置!$H$3),0)</f>
        <v>0</v>
      </c>
      <c r="U317" s="306">
        <f t="shared" si="85"/>
        <v>0</v>
      </c>
      <c r="V317" s="305">
        <f>IFERROR(SUMIF(血液浄化装置!$C$30:$C$74,B317,血液浄化装置!$K$30:$K$74)*((血液浄化装置!$H$3-血液浄化装置!$I$3)/血液浄化装置!$H$3),0)</f>
        <v>0</v>
      </c>
      <c r="W317" s="306">
        <f t="shared" si="86"/>
        <v>0</v>
      </c>
      <c r="X317" s="305">
        <f>IFERROR(SUMIF(気管支鏡!$C$30:$C$74,B317,気管支鏡!$K$30:$K$74)*((気管支鏡!$H$3-気管支鏡!$I$3)/気管支鏡!$H$3),0)</f>
        <v>0</v>
      </c>
      <c r="Y317" s="306">
        <f t="shared" si="72"/>
        <v>0</v>
      </c>
      <c r="Z317" s="305">
        <f>IFERROR(SUMIF(CT撮影装置!$C$30:$C$74,B317,CT撮影装置!$K$30:$K$74)*((CT撮影装置!$H$3-CT撮影装置!$I$3)/CT撮影装置!$H$3),0)</f>
        <v>0</v>
      </c>
      <c r="AA317" s="306">
        <f t="shared" si="87"/>
        <v>0</v>
      </c>
      <c r="AB317" s="305">
        <f>IFERROR(SUMIF(生体情報モニタ!$C$30:$C$74,B317,生体情報モニタ!$K$30:$K$74)*((生体情報モニタ!$H$3-生体情報モニタ!$I$3)/生体情報モニタ!$H$3),0)</f>
        <v>0</v>
      </c>
      <c r="AC317" s="306">
        <f t="shared" si="73"/>
        <v>0</v>
      </c>
      <c r="AD317" s="305">
        <f>IFERROR(SUMIF(分娩監視装置!$C$30:$C$74,B317,分娩監視装置!$K$30:$K$74)*((分娩監視装置!$H$3-分娩監視装置!$I$3)/分娩監視装置!$H$3),0)</f>
        <v>0</v>
      </c>
      <c r="AE317" s="306">
        <f t="shared" si="88"/>
        <v>0</v>
      </c>
      <c r="AF317" s="305">
        <f>IFERROR(SUMIF(新生児モニタ!$C$30:$C$74,B317,新生児モニタ!$K$30:$K$74)*((新生児モニタ!$H$3-新生児モニタ!$I$3)/新生児モニタ!$H$3),0)</f>
        <v>0</v>
      </c>
      <c r="AG317" s="306">
        <f t="shared" si="89"/>
        <v>0</v>
      </c>
    </row>
    <row r="318" spans="2:33">
      <c r="B318" s="283" t="s">
        <v>1131</v>
      </c>
      <c r="C318" s="305">
        <f>IFERROR(SUMIF(初度設備!$C$30:$C$74,B318,初度設備!$K$30:$K$74)*((初度設備!$H$3-初度設備!$I$3)/初度設備!$H$3),0)</f>
        <v>0</v>
      </c>
      <c r="D318" s="306">
        <f t="shared" si="74"/>
        <v>0</v>
      </c>
      <c r="E318" s="305">
        <f>IFERROR(SUMIF(人工呼吸器!$C$30:$C$74,B318,人工呼吸器!$K$30:$K$74)*((人工呼吸器!$H$3-人工呼吸器!$I$3)/人工呼吸器!$H$3),0)</f>
        <v>0</v>
      </c>
      <c r="F318" s="306">
        <f t="shared" si="75"/>
        <v>0</v>
      </c>
      <c r="G318" s="306">
        <f t="shared" si="76"/>
        <v>0</v>
      </c>
      <c r="H318" s="306">
        <f t="shared" si="77"/>
        <v>0</v>
      </c>
      <c r="I318" s="305">
        <f>IFERROR(SUMIF(簡易陰圧装置!$C$30:$C$74,B318,簡易陰圧装置!$K$30:$K$74)*((簡易陰圧装置!$H$3-簡易陰圧装置!$I$3)/簡易陰圧装置!$H$3),0)</f>
        <v>0</v>
      </c>
      <c r="J318" s="306">
        <f t="shared" si="78"/>
        <v>0</v>
      </c>
      <c r="K318" s="305">
        <f>IFERROR(SUMIF(簡易ベッド!$C$30:$C$74,B318,簡易ベッド!$K$30:$K$74)*((簡易ベッド!$H$3-簡易ベッド!$I$3)/簡易ベッド!$H$3),0)</f>
        <v>0</v>
      </c>
      <c r="L318" s="306">
        <f t="shared" si="79"/>
        <v>0</v>
      </c>
      <c r="M318" s="305">
        <f>IFERROR(SUMIF(体外式膜型人工肺!$C$30:$C$74,B318,体外式膜型人工肺!$K$30:$K$74)*((体外式膜型人工肺!$H$3-体外式膜型人工肺!$I$3)/体外式膜型人工肺!$H$3),0)</f>
        <v>0</v>
      </c>
      <c r="N318" s="306">
        <f t="shared" si="80"/>
        <v>0</v>
      </c>
      <c r="O318" s="306">
        <f t="shared" si="81"/>
        <v>0</v>
      </c>
      <c r="P318" s="306">
        <f t="shared" si="82"/>
        <v>0</v>
      </c>
      <c r="Q318" s="305">
        <f>IFERROR(SUMIF(紫外線照射装置!$C$30:$C$74,B318,紫外線照射装置!$K$30:$K$74)*((紫外線照射装置!$H$3-紫外線照射装置!$I$3)/紫外線照射装置!$H$3),0)</f>
        <v>0</v>
      </c>
      <c r="R318" s="306">
        <f t="shared" si="83"/>
        <v>0</v>
      </c>
      <c r="S318" s="419">
        <f t="shared" si="84"/>
        <v>0</v>
      </c>
      <c r="T318" s="305">
        <f>IFERROR(SUMIF(超音波画像診断装置!$C$30:$C$74,B318,超音波画像診断装置!$K$30:$K$74)*((超音波画像診断装置!$H$3-超音波画像診断装置!$I$3)/超音波画像診断装置!$H$3),0)</f>
        <v>0</v>
      </c>
      <c r="U318" s="306">
        <f t="shared" si="85"/>
        <v>0</v>
      </c>
      <c r="V318" s="305">
        <f>IFERROR(SUMIF(血液浄化装置!$C$30:$C$74,B318,血液浄化装置!$K$30:$K$74)*((血液浄化装置!$H$3-血液浄化装置!$I$3)/血液浄化装置!$H$3),0)</f>
        <v>0</v>
      </c>
      <c r="W318" s="306">
        <f t="shared" si="86"/>
        <v>0</v>
      </c>
      <c r="X318" s="305">
        <f>IFERROR(SUMIF(気管支鏡!$C$30:$C$74,B318,気管支鏡!$K$30:$K$74)*((気管支鏡!$H$3-気管支鏡!$I$3)/気管支鏡!$H$3),0)</f>
        <v>0</v>
      </c>
      <c r="Y318" s="306">
        <f t="shared" si="72"/>
        <v>0</v>
      </c>
      <c r="Z318" s="305">
        <f>IFERROR(SUMIF(CT撮影装置!$C$30:$C$74,B318,CT撮影装置!$K$30:$K$74)*((CT撮影装置!$H$3-CT撮影装置!$I$3)/CT撮影装置!$H$3),0)</f>
        <v>0</v>
      </c>
      <c r="AA318" s="306">
        <f t="shared" si="87"/>
        <v>0</v>
      </c>
      <c r="AB318" s="305">
        <f>IFERROR(SUMIF(生体情報モニタ!$C$30:$C$74,B318,生体情報モニタ!$K$30:$K$74)*((生体情報モニタ!$H$3-生体情報モニタ!$I$3)/生体情報モニタ!$H$3),0)</f>
        <v>0</v>
      </c>
      <c r="AC318" s="306">
        <f t="shared" si="73"/>
        <v>0</v>
      </c>
      <c r="AD318" s="305">
        <f>IFERROR(SUMIF(分娩監視装置!$C$30:$C$74,B318,分娩監視装置!$K$30:$K$74)*((分娩監視装置!$H$3-分娩監視装置!$I$3)/分娩監視装置!$H$3),0)</f>
        <v>0</v>
      </c>
      <c r="AE318" s="306">
        <f t="shared" si="88"/>
        <v>0</v>
      </c>
      <c r="AF318" s="305">
        <f>IFERROR(SUMIF(新生児モニタ!$C$30:$C$74,B318,新生児モニタ!$K$30:$K$74)*((新生児モニタ!$H$3-新生児モニタ!$I$3)/新生児モニタ!$H$3),0)</f>
        <v>0</v>
      </c>
      <c r="AG318" s="306">
        <f t="shared" si="89"/>
        <v>0</v>
      </c>
    </row>
    <row r="319" spans="2:33">
      <c r="B319" s="283" t="s">
        <v>1132</v>
      </c>
      <c r="C319" s="305">
        <f>IFERROR(SUMIF(初度設備!$C$30:$C$74,B319,初度設備!$K$30:$K$74)*((初度設備!$H$3-初度設備!$I$3)/初度設備!$H$3),0)</f>
        <v>0</v>
      </c>
      <c r="D319" s="306">
        <f t="shared" si="74"/>
        <v>0</v>
      </c>
      <c r="E319" s="305">
        <f>IFERROR(SUMIF(人工呼吸器!$C$30:$C$74,B319,人工呼吸器!$K$30:$K$74)*((人工呼吸器!$H$3-人工呼吸器!$I$3)/人工呼吸器!$H$3),0)</f>
        <v>0</v>
      </c>
      <c r="F319" s="306">
        <f t="shared" si="75"/>
        <v>0</v>
      </c>
      <c r="G319" s="306">
        <f t="shared" si="76"/>
        <v>0</v>
      </c>
      <c r="H319" s="306">
        <f t="shared" si="77"/>
        <v>0</v>
      </c>
      <c r="I319" s="305">
        <f>IFERROR(SUMIF(簡易陰圧装置!$C$30:$C$74,B319,簡易陰圧装置!$K$30:$K$74)*((簡易陰圧装置!$H$3-簡易陰圧装置!$I$3)/簡易陰圧装置!$H$3),0)</f>
        <v>0</v>
      </c>
      <c r="J319" s="306">
        <f t="shared" si="78"/>
        <v>0</v>
      </c>
      <c r="K319" s="305">
        <f>IFERROR(SUMIF(簡易ベッド!$C$30:$C$74,B319,簡易ベッド!$K$30:$K$74)*((簡易ベッド!$H$3-簡易ベッド!$I$3)/簡易ベッド!$H$3),0)</f>
        <v>0</v>
      </c>
      <c r="L319" s="306">
        <f t="shared" si="79"/>
        <v>0</v>
      </c>
      <c r="M319" s="305">
        <f>IFERROR(SUMIF(体外式膜型人工肺!$C$30:$C$74,B319,体外式膜型人工肺!$K$30:$K$74)*((体外式膜型人工肺!$H$3-体外式膜型人工肺!$I$3)/体外式膜型人工肺!$H$3),0)</f>
        <v>0</v>
      </c>
      <c r="N319" s="306">
        <f t="shared" si="80"/>
        <v>0</v>
      </c>
      <c r="O319" s="306">
        <f t="shared" si="81"/>
        <v>0</v>
      </c>
      <c r="P319" s="306">
        <f t="shared" si="82"/>
        <v>0</v>
      </c>
      <c r="Q319" s="305">
        <f>IFERROR(SUMIF(紫外線照射装置!$C$30:$C$74,B319,紫外線照射装置!$K$30:$K$74)*((紫外線照射装置!$H$3-紫外線照射装置!$I$3)/紫外線照射装置!$H$3),0)</f>
        <v>0</v>
      </c>
      <c r="R319" s="306">
        <f t="shared" si="83"/>
        <v>0</v>
      </c>
      <c r="S319" s="419">
        <f t="shared" si="84"/>
        <v>0</v>
      </c>
      <c r="T319" s="305">
        <f>IFERROR(SUMIF(超音波画像診断装置!$C$30:$C$74,B319,超音波画像診断装置!$K$30:$K$74)*((超音波画像診断装置!$H$3-超音波画像診断装置!$I$3)/超音波画像診断装置!$H$3),0)</f>
        <v>0</v>
      </c>
      <c r="U319" s="306">
        <f t="shared" si="85"/>
        <v>0</v>
      </c>
      <c r="V319" s="305">
        <f>IFERROR(SUMIF(血液浄化装置!$C$30:$C$74,B319,血液浄化装置!$K$30:$K$74)*((血液浄化装置!$H$3-血液浄化装置!$I$3)/血液浄化装置!$H$3),0)</f>
        <v>0</v>
      </c>
      <c r="W319" s="306">
        <f t="shared" si="86"/>
        <v>0</v>
      </c>
      <c r="X319" s="305">
        <f>IFERROR(SUMIF(気管支鏡!$C$30:$C$74,B319,気管支鏡!$K$30:$K$74)*((気管支鏡!$H$3-気管支鏡!$I$3)/気管支鏡!$H$3),0)</f>
        <v>0</v>
      </c>
      <c r="Y319" s="306">
        <f t="shared" si="72"/>
        <v>0</v>
      </c>
      <c r="Z319" s="305">
        <f>IFERROR(SUMIF(CT撮影装置!$C$30:$C$74,B319,CT撮影装置!$K$30:$K$74)*((CT撮影装置!$H$3-CT撮影装置!$I$3)/CT撮影装置!$H$3),0)</f>
        <v>0</v>
      </c>
      <c r="AA319" s="306">
        <f t="shared" si="87"/>
        <v>0</v>
      </c>
      <c r="AB319" s="305">
        <f>IFERROR(SUMIF(生体情報モニタ!$C$30:$C$74,B319,生体情報モニタ!$K$30:$K$74)*((生体情報モニタ!$H$3-生体情報モニタ!$I$3)/生体情報モニタ!$H$3),0)</f>
        <v>0</v>
      </c>
      <c r="AC319" s="306">
        <f t="shared" si="73"/>
        <v>0</v>
      </c>
      <c r="AD319" s="305">
        <f>IFERROR(SUMIF(分娩監視装置!$C$30:$C$74,B319,分娩監視装置!$K$30:$K$74)*((分娩監視装置!$H$3-分娩監視装置!$I$3)/分娩監視装置!$H$3),0)</f>
        <v>0</v>
      </c>
      <c r="AE319" s="306">
        <f t="shared" si="88"/>
        <v>0</v>
      </c>
      <c r="AF319" s="305">
        <f>IFERROR(SUMIF(新生児モニタ!$C$30:$C$74,B319,新生児モニタ!$K$30:$K$74)*((新生児モニタ!$H$3-新生児モニタ!$I$3)/新生児モニタ!$H$3),0)</f>
        <v>0</v>
      </c>
      <c r="AG319" s="306">
        <f t="shared" si="89"/>
        <v>0</v>
      </c>
    </row>
    <row r="320" spans="2:33">
      <c r="B320" s="283" t="s">
        <v>1133</v>
      </c>
      <c r="C320" s="305">
        <f>IFERROR(SUMIF(初度設備!$C$30:$C$74,B320,初度設備!$K$30:$K$74)*((初度設備!$H$3-初度設備!$I$3)/初度設備!$H$3),0)</f>
        <v>0</v>
      </c>
      <c r="D320" s="306">
        <f t="shared" si="74"/>
        <v>0</v>
      </c>
      <c r="E320" s="305">
        <f>IFERROR(SUMIF(人工呼吸器!$C$30:$C$74,B320,人工呼吸器!$K$30:$K$74)*((人工呼吸器!$H$3-人工呼吸器!$I$3)/人工呼吸器!$H$3),0)</f>
        <v>0</v>
      </c>
      <c r="F320" s="306">
        <f t="shared" si="75"/>
        <v>0</v>
      </c>
      <c r="G320" s="306">
        <f t="shared" si="76"/>
        <v>0</v>
      </c>
      <c r="H320" s="306">
        <f t="shared" si="77"/>
        <v>0</v>
      </c>
      <c r="I320" s="305">
        <f>IFERROR(SUMIF(簡易陰圧装置!$C$30:$C$74,B320,簡易陰圧装置!$K$30:$K$74)*((簡易陰圧装置!$H$3-簡易陰圧装置!$I$3)/簡易陰圧装置!$H$3),0)</f>
        <v>0</v>
      </c>
      <c r="J320" s="306">
        <f t="shared" si="78"/>
        <v>0</v>
      </c>
      <c r="K320" s="305">
        <f>IFERROR(SUMIF(簡易ベッド!$C$30:$C$74,B320,簡易ベッド!$K$30:$K$74)*((簡易ベッド!$H$3-簡易ベッド!$I$3)/簡易ベッド!$H$3),0)</f>
        <v>0</v>
      </c>
      <c r="L320" s="306">
        <f t="shared" si="79"/>
        <v>0</v>
      </c>
      <c r="M320" s="305">
        <f>IFERROR(SUMIF(体外式膜型人工肺!$C$30:$C$74,B320,体外式膜型人工肺!$K$30:$K$74)*((体外式膜型人工肺!$H$3-体外式膜型人工肺!$I$3)/体外式膜型人工肺!$H$3),0)</f>
        <v>0</v>
      </c>
      <c r="N320" s="306">
        <f t="shared" si="80"/>
        <v>0</v>
      </c>
      <c r="O320" s="306">
        <f t="shared" si="81"/>
        <v>0</v>
      </c>
      <c r="P320" s="306">
        <f t="shared" si="82"/>
        <v>0</v>
      </c>
      <c r="Q320" s="305">
        <f>IFERROR(SUMIF(紫外線照射装置!$C$30:$C$74,B320,紫外線照射装置!$K$30:$K$74)*((紫外線照射装置!$H$3-紫外線照射装置!$I$3)/紫外線照射装置!$H$3),0)</f>
        <v>0</v>
      </c>
      <c r="R320" s="306">
        <f t="shared" si="83"/>
        <v>0</v>
      </c>
      <c r="S320" s="419">
        <f t="shared" si="84"/>
        <v>0</v>
      </c>
      <c r="T320" s="305">
        <f>IFERROR(SUMIF(超音波画像診断装置!$C$30:$C$74,B320,超音波画像診断装置!$K$30:$K$74)*((超音波画像診断装置!$H$3-超音波画像診断装置!$I$3)/超音波画像診断装置!$H$3),0)</f>
        <v>0</v>
      </c>
      <c r="U320" s="306">
        <f t="shared" si="85"/>
        <v>0</v>
      </c>
      <c r="V320" s="305">
        <f>IFERROR(SUMIF(血液浄化装置!$C$30:$C$74,B320,血液浄化装置!$K$30:$K$74)*((血液浄化装置!$H$3-血液浄化装置!$I$3)/血液浄化装置!$H$3),0)</f>
        <v>0</v>
      </c>
      <c r="W320" s="306">
        <f t="shared" si="86"/>
        <v>0</v>
      </c>
      <c r="X320" s="305">
        <f>IFERROR(SUMIF(気管支鏡!$C$30:$C$74,B320,気管支鏡!$K$30:$K$74)*((気管支鏡!$H$3-気管支鏡!$I$3)/気管支鏡!$H$3),0)</f>
        <v>0</v>
      </c>
      <c r="Y320" s="306">
        <f t="shared" si="72"/>
        <v>0</v>
      </c>
      <c r="Z320" s="305">
        <f>IFERROR(SUMIF(CT撮影装置!$C$30:$C$74,B320,CT撮影装置!$K$30:$K$74)*((CT撮影装置!$H$3-CT撮影装置!$I$3)/CT撮影装置!$H$3),0)</f>
        <v>0</v>
      </c>
      <c r="AA320" s="306">
        <f t="shared" si="87"/>
        <v>0</v>
      </c>
      <c r="AB320" s="305">
        <f>IFERROR(SUMIF(生体情報モニタ!$C$30:$C$74,B320,生体情報モニタ!$K$30:$K$74)*((生体情報モニタ!$H$3-生体情報モニタ!$I$3)/生体情報モニタ!$H$3),0)</f>
        <v>0</v>
      </c>
      <c r="AC320" s="306">
        <f t="shared" si="73"/>
        <v>0</v>
      </c>
      <c r="AD320" s="305">
        <f>IFERROR(SUMIF(分娩監視装置!$C$30:$C$74,B320,分娩監視装置!$K$30:$K$74)*((分娩監視装置!$H$3-分娩監視装置!$I$3)/分娩監視装置!$H$3),0)</f>
        <v>0</v>
      </c>
      <c r="AE320" s="306">
        <f t="shared" si="88"/>
        <v>0</v>
      </c>
      <c r="AF320" s="305">
        <f>IFERROR(SUMIF(新生児モニタ!$C$30:$C$74,B320,新生児モニタ!$K$30:$K$74)*((新生児モニタ!$H$3-新生児モニタ!$I$3)/新生児モニタ!$H$3),0)</f>
        <v>0</v>
      </c>
      <c r="AG320" s="306">
        <f t="shared" si="89"/>
        <v>0</v>
      </c>
    </row>
    <row r="321" spans="2:33">
      <c r="B321" s="283" t="s">
        <v>1134</v>
      </c>
      <c r="C321" s="305">
        <f>IFERROR(SUMIF(初度設備!$C$30:$C$74,B321,初度設備!$K$30:$K$74)*((初度設備!$H$3-初度設備!$I$3)/初度設備!$H$3),0)</f>
        <v>0</v>
      </c>
      <c r="D321" s="306">
        <f t="shared" si="74"/>
        <v>0</v>
      </c>
      <c r="E321" s="305">
        <f>IFERROR(SUMIF(人工呼吸器!$C$30:$C$74,B321,人工呼吸器!$K$30:$K$74)*((人工呼吸器!$H$3-人工呼吸器!$I$3)/人工呼吸器!$H$3),0)</f>
        <v>0</v>
      </c>
      <c r="F321" s="306">
        <f t="shared" si="75"/>
        <v>0</v>
      </c>
      <c r="G321" s="306">
        <f t="shared" si="76"/>
        <v>0</v>
      </c>
      <c r="H321" s="306">
        <f t="shared" si="77"/>
        <v>0</v>
      </c>
      <c r="I321" s="305">
        <f>IFERROR(SUMIF(簡易陰圧装置!$C$30:$C$74,B321,簡易陰圧装置!$K$30:$K$74)*((簡易陰圧装置!$H$3-簡易陰圧装置!$I$3)/簡易陰圧装置!$H$3),0)</f>
        <v>0</v>
      </c>
      <c r="J321" s="306">
        <f t="shared" si="78"/>
        <v>0</v>
      </c>
      <c r="K321" s="305">
        <f>IFERROR(SUMIF(簡易ベッド!$C$30:$C$74,B321,簡易ベッド!$K$30:$K$74)*((簡易ベッド!$H$3-簡易ベッド!$I$3)/簡易ベッド!$H$3),0)</f>
        <v>0</v>
      </c>
      <c r="L321" s="306">
        <f t="shared" si="79"/>
        <v>0</v>
      </c>
      <c r="M321" s="305">
        <f>IFERROR(SUMIF(体外式膜型人工肺!$C$30:$C$74,B321,体外式膜型人工肺!$K$30:$K$74)*((体外式膜型人工肺!$H$3-体外式膜型人工肺!$I$3)/体外式膜型人工肺!$H$3),0)</f>
        <v>0</v>
      </c>
      <c r="N321" s="306">
        <f t="shared" si="80"/>
        <v>0</v>
      </c>
      <c r="O321" s="306">
        <f t="shared" si="81"/>
        <v>0</v>
      </c>
      <c r="P321" s="306">
        <f t="shared" si="82"/>
        <v>0</v>
      </c>
      <c r="Q321" s="305">
        <f>IFERROR(SUMIF(紫外線照射装置!$C$30:$C$74,B321,紫外線照射装置!$K$30:$K$74)*((紫外線照射装置!$H$3-紫外線照射装置!$I$3)/紫外線照射装置!$H$3),0)</f>
        <v>0</v>
      </c>
      <c r="R321" s="306">
        <f t="shared" si="83"/>
        <v>0</v>
      </c>
      <c r="S321" s="419">
        <f t="shared" si="84"/>
        <v>0</v>
      </c>
      <c r="T321" s="305">
        <f>IFERROR(SUMIF(超音波画像診断装置!$C$30:$C$74,B321,超音波画像診断装置!$K$30:$K$74)*((超音波画像診断装置!$H$3-超音波画像診断装置!$I$3)/超音波画像診断装置!$H$3),0)</f>
        <v>0</v>
      </c>
      <c r="U321" s="306">
        <f t="shared" si="85"/>
        <v>0</v>
      </c>
      <c r="V321" s="305">
        <f>IFERROR(SUMIF(血液浄化装置!$C$30:$C$74,B321,血液浄化装置!$K$30:$K$74)*((血液浄化装置!$H$3-血液浄化装置!$I$3)/血液浄化装置!$H$3),0)</f>
        <v>0</v>
      </c>
      <c r="W321" s="306">
        <f t="shared" si="86"/>
        <v>0</v>
      </c>
      <c r="X321" s="305">
        <f>IFERROR(SUMIF(気管支鏡!$C$30:$C$74,B321,気管支鏡!$K$30:$K$74)*((気管支鏡!$H$3-気管支鏡!$I$3)/気管支鏡!$H$3),0)</f>
        <v>0</v>
      </c>
      <c r="Y321" s="306">
        <f t="shared" si="72"/>
        <v>0</v>
      </c>
      <c r="Z321" s="305">
        <f>IFERROR(SUMIF(CT撮影装置!$C$30:$C$74,B321,CT撮影装置!$K$30:$K$74)*((CT撮影装置!$H$3-CT撮影装置!$I$3)/CT撮影装置!$H$3),0)</f>
        <v>0</v>
      </c>
      <c r="AA321" s="306">
        <f t="shared" si="87"/>
        <v>0</v>
      </c>
      <c r="AB321" s="305">
        <f>IFERROR(SUMIF(生体情報モニタ!$C$30:$C$74,B321,生体情報モニタ!$K$30:$K$74)*((生体情報モニタ!$H$3-生体情報モニタ!$I$3)/生体情報モニタ!$H$3),0)</f>
        <v>0</v>
      </c>
      <c r="AC321" s="306">
        <f t="shared" si="73"/>
        <v>0</v>
      </c>
      <c r="AD321" s="305">
        <f>IFERROR(SUMIF(分娩監視装置!$C$30:$C$74,B321,分娩監視装置!$K$30:$K$74)*((分娩監視装置!$H$3-分娩監視装置!$I$3)/分娩監視装置!$H$3),0)</f>
        <v>0</v>
      </c>
      <c r="AE321" s="306">
        <f t="shared" si="88"/>
        <v>0</v>
      </c>
      <c r="AF321" s="305">
        <f>IFERROR(SUMIF(新生児モニタ!$C$30:$C$74,B321,新生児モニタ!$K$30:$K$74)*((新生児モニタ!$H$3-新生児モニタ!$I$3)/新生児モニタ!$H$3),0)</f>
        <v>0</v>
      </c>
      <c r="AG321" s="306">
        <f t="shared" si="89"/>
        <v>0</v>
      </c>
    </row>
    <row r="322" spans="2:33">
      <c r="B322" s="283" t="s">
        <v>1135</v>
      </c>
      <c r="C322" s="305">
        <f>IFERROR(SUMIF(初度設備!$C$30:$C$74,B322,初度設備!$K$30:$K$74)*((初度設備!$H$3-初度設備!$I$3)/初度設備!$H$3),0)</f>
        <v>0</v>
      </c>
      <c r="D322" s="306">
        <f t="shared" si="74"/>
        <v>0</v>
      </c>
      <c r="E322" s="305">
        <f>IFERROR(SUMIF(人工呼吸器!$C$30:$C$74,B322,人工呼吸器!$K$30:$K$74)*((人工呼吸器!$H$3-人工呼吸器!$I$3)/人工呼吸器!$H$3),0)</f>
        <v>0</v>
      </c>
      <c r="F322" s="306">
        <f t="shared" si="75"/>
        <v>0</v>
      </c>
      <c r="G322" s="306">
        <f t="shared" si="76"/>
        <v>0</v>
      </c>
      <c r="H322" s="306">
        <f t="shared" si="77"/>
        <v>0</v>
      </c>
      <c r="I322" s="305">
        <f>IFERROR(SUMIF(簡易陰圧装置!$C$30:$C$74,B322,簡易陰圧装置!$K$30:$K$74)*((簡易陰圧装置!$H$3-簡易陰圧装置!$I$3)/簡易陰圧装置!$H$3),0)</f>
        <v>0</v>
      </c>
      <c r="J322" s="306">
        <f t="shared" si="78"/>
        <v>0</v>
      </c>
      <c r="K322" s="305">
        <f>IFERROR(SUMIF(簡易ベッド!$C$30:$C$74,B322,簡易ベッド!$K$30:$K$74)*((簡易ベッド!$H$3-簡易ベッド!$I$3)/簡易ベッド!$H$3),0)</f>
        <v>0</v>
      </c>
      <c r="L322" s="306">
        <f t="shared" si="79"/>
        <v>0</v>
      </c>
      <c r="M322" s="305">
        <f>IFERROR(SUMIF(体外式膜型人工肺!$C$30:$C$74,B322,体外式膜型人工肺!$K$30:$K$74)*((体外式膜型人工肺!$H$3-体外式膜型人工肺!$I$3)/体外式膜型人工肺!$H$3),0)</f>
        <v>0</v>
      </c>
      <c r="N322" s="306">
        <f t="shared" si="80"/>
        <v>0</v>
      </c>
      <c r="O322" s="306">
        <f t="shared" si="81"/>
        <v>0</v>
      </c>
      <c r="P322" s="306">
        <f t="shared" si="82"/>
        <v>0</v>
      </c>
      <c r="Q322" s="305">
        <f>IFERROR(SUMIF(紫外線照射装置!$C$30:$C$74,B322,紫外線照射装置!$K$30:$K$74)*((紫外線照射装置!$H$3-紫外線照射装置!$I$3)/紫外線照射装置!$H$3),0)</f>
        <v>0</v>
      </c>
      <c r="R322" s="306">
        <f t="shared" si="83"/>
        <v>0</v>
      </c>
      <c r="S322" s="419">
        <f t="shared" si="84"/>
        <v>0</v>
      </c>
      <c r="T322" s="305">
        <f>IFERROR(SUMIF(超音波画像診断装置!$C$30:$C$74,B322,超音波画像診断装置!$K$30:$K$74)*((超音波画像診断装置!$H$3-超音波画像診断装置!$I$3)/超音波画像診断装置!$H$3),0)</f>
        <v>0</v>
      </c>
      <c r="U322" s="306">
        <f t="shared" si="85"/>
        <v>0</v>
      </c>
      <c r="V322" s="305">
        <f>IFERROR(SUMIF(血液浄化装置!$C$30:$C$74,B322,血液浄化装置!$K$30:$K$74)*((血液浄化装置!$H$3-血液浄化装置!$I$3)/血液浄化装置!$H$3),0)</f>
        <v>0</v>
      </c>
      <c r="W322" s="306">
        <f t="shared" si="86"/>
        <v>0</v>
      </c>
      <c r="X322" s="305">
        <f>IFERROR(SUMIF(気管支鏡!$C$30:$C$74,B322,気管支鏡!$K$30:$K$74)*((気管支鏡!$H$3-気管支鏡!$I$3)/気管支鏡!$H$3),0)</f>
        <v>0</v>
      </c>
      <c r="Y322" s="306">
        <f t="shared" si="72"/>
        <v>0</v>
      </c>
      <c r="Z322" s="305">
        <f>IFERROR(SUMIF(CT撮影装置!$C$30:$C$74,B322,CT撮影装置!$K$30:$K$74)*((CT撮影装置!$H$3-CT撮影装置!$I$3)/CT撮影装置!$H$3),0)</f>
        <v>0</v>
      </c>
      <c r="AA322" s="306">
        <f t="shared" si="87"/>
        <v>0</v>
      </c>
      <c r="AB322" s="305">
        <f>IFERROR(SUMIF(生体情報モニタ!$C$30:$C$74,B322,生体情報モニタ!$K$30:$K$74)*((生体情報モニタ!$H$3-生体情報モニタ!$I$3)/生体情報モニタ!$H$3),0)</f>
        <v>0</v>
      </c>
      <c r="AC322" s="306">
        <f t="shared" si="73"/>
        <v>0</v>
      </c>
      <c r="AD322" s="305">
        <f>IFERROR(SUMIF(分娩監視装置!$C$30:$C$74,B322,分娩監視装置!$K$30:$K$74)*((分娩監視装置!$H$3-分娩監視装置!$I$3)/分娩監視装置!$H$3),0)</f>
        <v>0</v>
      </c>
      <c r="AE322" s="306">
        <f t="shared" si="88"/>
        <v>0</v>
      </c>
      <c r="AF322" s="305">
        <f>IFERROR(SUMIF(新生児モニタ!$C$30:$C$74,B322,新生児モニタ!$K$30:$K$74)*((新生児モニタ!$H$3-新生児モニタ!$I$3)/新生児モニタ!$H$3),0)</f>
        <v>0</v>
      </c>
      <c r="AG322" s="306">
        <f t="shared" si="89"/>
        <v>0</v>
      </c>
    </row>
  </sheetData>
  <mergeCells count="19">
    <mergeCell ref="F21:H21"/>
    <mergeCell ref="R20:S20"/>
    <mergeCell ref="R21:S21"/>
    <mergeCell ref="M20:M21"/>
    <mergeCell ref="N20:P20"/>
    <mergeCell ref="N21:P21"/>
    <mergeCell ref="AF20:AF21"/>
    <mergeCell ref="C20:C21"/>
    <mergeCell ref="I20:I21"/>
    <mergeCell ref="K20:K21"/>
    <mergeCell ref="Q20:Q21"/>
    <mergeCell ref="T20:T21"/>
    <mergeCell ref="V20:V21"/>
    <mergeCell ref="X20:X21"/>
    <mergeCell ref="Z20:Z21"/>
    <mergeCell ref="AB20:AB21"/>
    <mergeCell ref="AD20:AD21"/>
    <mergeCell ref="E20:E21"/>
    <mergeCell ref="F20:H20"/>
  </mergeCells>
  <phoneticPr fontId="5"/>
  <conditionalFormatting sqref="C23:D322 I23:L322 Q23:AG322">
    <cfRule type="cellIs" dxfId="117" priority="3" operator="greaterThan">
      <formula>0</formula>
    </cfRule>
  </conditionalFormatting>
  <conditionalFormatting sqref="E23:H322">
    <cfRule type="cellIs" dxfId="116" priority="2" operator="greaterThan">
      <formula>0</formula>
    </cfRule>
  </conditionalFormatting>
  <conditionalFormatting sqref="M23:P322">
    <cfRule type="cellIs" dxfId="115"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pageSetUpPr fitToPage="1"/>
  </sheetPr>
  <dimension ref="A1:AR201"/>
  <sheetViews>
    <sheetView showGridLines="0" tabSelected="1" view="pageBreakPreview" topLeftCell="E2" zoomScale="60" zoomScaleNormal="60" workbookViewId="0">
      <selection activeCell="C35" sqref="C35:AB35"/>
    </sheetView>
  </sheetViews>
  <sheetFormatPr defaultColWidth="9" defaultRowHeight="16.5"/>
  <cols>
    <col min="1" max="1" width="8.58203125" style="423" customWidth="1"/>
    <col min="2" max="2" width="3.58203125" style="405" customWidth="1"/>
    <col min="3" max="7" width="6.08203125" style="405" customWidth="1"/>
    <col min="8" max="14" width="6.08203125" style="450" customWidth="1"/>
    <col min="15" max="15" width="10.58203125" style="439" customWidth="1"/>
    <col min="16" max="16" width="6.08203125" style="404" customWidth="1"/>
    <col min="17" max="28" width="6.08203125" style="405" customWidth="1"/>
    <col min="29" max="30" width="3.58203125" style="405" customWidth="1"/>
    <col min="31" max="32" width="12.58203125" style="405" customWidth="1"/>
    <col min="33" max="35" width="10.25" style="405" customWidth="1"/>
    <col min="36" max="36" width="40.58203125" style="404" customWidth="1"/>
    <col min="37" max="37" width="9" style="405"/>
    <col min="38" max="38" width="0" style="405" hidden="1" customWidth="1"/>
    <col min="39" max="16384" width="9" style="405"/>
  </cols>
  <sheetData>
    <row r="1" spans="2:36" ht="90" customHeight="1">
      <c r="B1" s="424"/>
      <c r="C1" s="564" t="s">
        <v>449</v>
      </c>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424"/>
      <c r="AD1" s="424"/>
      <c r="AE1" s="425"/>
    </row>
    <row r="2" spans="2:36" ht="30" customHeight="1">
      <c r="B2" s="424"/>
      <c r="C2" s="480" t="s">
        <v>79</v>
      </c>
      <c r="D2" s="481"/>
      <c r="E2" s="481"/>
      <c r="F2" s="481"/>
      <c r="G2" s="482"/>
      <c r="H2" s="480" t="s">
        <v>80</v>
      </c>
      <c r="I2" s="481"/>
      <c r="J2" s="481"/>
      <c r="K2" s="481"/>
      <c r="L2" s="481"/>
      <c r="M2" s="481"/>
      <c r="N2" s="482"/>
      <c r="O2" s="426" t="s">
        <v>81</v>
      </c>
      <c r="P2" s="565" t="s">
        <v>82</v>
      </c>
      <c r="Q2" s="488"/>
      <c r="R2" s="488"/>
      <c r="S2" s="488"/>
      <c r="T2" s="488"/>
      <c r="U2" s="488"/>
      <c r="V2" s="488"/>
      <c r="W2" s="488"/>
      <c r="X2" s="488"/>
      <c r="Y2" s="488"/>
      <c r="Z2" s="488"/>
      <c r="AA2" s="488"/>
      <c r="AB2" s="489"/>
      <c r="AC2" s="424"/>
      <c r="AD2" s="424"/>
      <c r="AE2" s="427"/>
    </row>
    <row r="3" spans="2:36" ht="30" customHeight="1">
      <c r="B3" s="468" t="str">
        <f xml:space="preserve">
IF(テーブル!B2="事前協議","協議者情報",
IF(テーブル!B2="交付申請","申請者情報",
IF(テーブル!B2="交付申請（２次以降）","申請者情報",
IF(テーブル!B2="変更申請","申請者情報",
IF(テーブル!B2="実績報告","報告者情報")))))</f>
        <v>申請者情報</v>
      </c>
      <c r="C3" s="566" t="s">
        <v>83</v>
      </c>
      <c r="D3" s="567"/>
      <c r="E3" s="567"/>
      <c r="F3" s="567"/>
      <c r="G3" s="568"/>
      <c r="H3" s="574" t="s">
        <v>84</v>
      </c>
      <c r="I3" s="575"/>
      <c r="J3" s="575"/>
      <c r="K3" s="575"/>
      <c r="L3" s="575"/>
      <c r="M3" s="575"/>
      <c r="N3" s="576"/>
      <c r="O3" s="523" t="str">
        <f xml:space="preserve">
IF(AND(AE3="×",AE4="×",AE5="×"),"×",
IF(AND(AE3="×",AE4="×",AE5="○"),"○"&amp;CHAR(10)&amp;"（公立）",
IF(AND(AE3="×",AE4="○",AE5="×"),"○"&amp;CHAR(10)&amp;"（個人）",
IF(AND(AE3="×",AE4="○",AE5="○"),"×",
IF(AND(AE3="○",AE4="×",AE5="×"),"○"&amp;CHAR(10)&amp;"（法人）",
IF(AND(AE3="○",AE4="×",AE5="○"),"×",
IF(AND(AE3="○",AE4="○",AE5="×"),"×",
IF(AND(AE3="○",AE4="○",AE5="○"),"×",
))))))))</f>
        <v>×</v>
      </c>
      <c r="P3" s="548" t="str">
        <f xml:space="preserve">
IF(AND(AE3="×",AE4="×",AE5="×"),"【要修正】いずれかのボックスにチェックしてください。",
IF(AND(AE3="×",AE4="×",AE5="○"),"適切に入力がされました。",
IF(AND(AE3="×",AE4="○",AE5="×"),"適切に入力がされました。",
IF(AND(AE3="×",AE4="○",AE5="○"),"【要修正】複数のボックスにチェックされています。（いずれか１つのみチェックしてください。）",
IF(AND(AE3="○",AE4="×",AE5="×"),"適切に入力がされました。",
IF(AND(AE3="○",AE4="×",AE5="○"),"【要修正】複数のボックスにチェックされています。（いずれか１つのみチェックしてください。）",
IF(AND(AE3="○",AE4="○",AE5="×"),"【要修正】複数のボックスにチェックされています。（いずれか１つのみチェックしてください。）",
IF(AND(AE3="○",AE4="○",AE5="○"),"【要修正】全てのボックスにチェックされています。（いずれか１つのみチェックしてください。）",
))))))))</f>
        <v>【要修正】いずれかのボックスにチェックしてください。</v>
      </c>
      <c r="Q3" s="546"/>
      <c r="R3" s="546"/>
      <c r="S3" s="546"/>
      <c r="T3" s="546"/>
      <c r="U3" s="546"/>
      <c r="V3" s="546"/>
      <c r="W3" s="546"/>
      <c r="X3" s="488"/>
      <c r="Y3" s="488"/>
      <c r="Z3" s="488"/>
      <c r="AA3" s="488"/>
      <c r="AB3" s="489"/>
      <c r="AC3" s="424"/>
      <c r="AD3" s="424"/>
      <c r="AE3" s="427" t="str">
        <f>IF(AF3=TRUE,"○","×")</f>
        <v>×</v>
      </c>
      <c r="AF3" s="451" t="b">
        <v>0</v>
      </c>
      <c r="AJ3" s="557" t="str">
        <f>IF(OR(O3="○"&amp;CHAR(10)&amp;"（法人）",O3="○"&amp;CHAR(10)&amp;"（個人）"),"",C3&amp;"/")</f>
        <v>法人・個人事業主の別/</v>
      </c>
    </row>
    <row r="4" spans="2:36" ht="30" customHeight="1">
      <c r="B4" s="469"/>
      <c r="C4" s="569"/>
      <c r="D4" s="507"/>
      <c r="E4" s="507"/>
      <c r="F4" s="507"/>
      <c r="G4" s="570"/>
      <c r="H4" s="558" t="s">
        <v>85</v>
      </c>
      <c r="I4" s="559"/>
      <c r="J4" s="559"/>
      <c r="K4" s="559"/>
      <c r="L4" s="559"/>
      <c r="M4" s="559"/>
      <c r="N4" s="560"/>
      <c r="O4" s="523"/>
      <c r="P4" s="548"/>
      <c r="Q4" s="546"/>
      <c r="R4" s="546"/>
      <c r="S4" s="546"/>
      <c r="T4" s="546"/>
      <c r="U4" s="546"/>
      <c r="V4" s="546"/>
      <c r="W4" s="546"/>
      <c r="X4" s="488"/>
      <c r="Y4" s="488"/>
      <c r="Z4" s="488"/>
      <c r="AA4" s="488"/>
      <c r="AB4" s="489"/>
      <c r="AC4" s="424"/>
      <c r="AD4" s="424"/>
      <c r="AE4" s="427" t="str">
        <f>IF(AF4=TRUE,"○","×")</f>
        <v>×</v>
      </c>
      <c r="AF4" s="451" t="b">
        <v>0</v>
      </c>
      <c r="AJ4" s="557"/>
    </row>
    <row r="5" spans="2:36" ht="30" customHeight="1">
      <c r="B5" s="469"/>
      <c r="C5" s="571"/>
      <c r="D5" s="572"/>
      <c r="E5" s="572"/>
      <c r="F5" s="572"/>
      <c r="G5" s="573"/>
      <c r="H5" s="561" t="s">
        <v>86</v>
      </c>
      <c r="I5" s="562"/>
      <c r="J5" s="562"/>
      <c r="K5" s="562"/>
      <c r="L5" s="562"/>
      <c r="M5" s="562"/>
      <c r="N5" s="563"/>
      <c r="O5" s="523"/>
      <c r="P5" s="577"/>
      <c r="Q5" s="546"/>
      <c r="R5" s="546"/>
      <c r="S5" s="546"/>
      <c r="T5" s="546"/>
      <c r="U5" s="546"/>
      <c r="V5" s="546"/>
      <c r="W5" s="546"/>
      <c r="X5" s="488"/>
      <c r="Y5" s="488"/>
      <c r="Z5" s="488"/>
      <c r="AA5" s="488"/>
      <c r="AB5" s="489"/>
      <c r="AC5" s="424"/>
      <c r="AD5" s="424"/>
      <c r="AE5" s="427" t="str">
        <f>IF(AF5=TRUE,"○","×")</f>
        <v>×</v>
      </c>
      <c r="AF5" s="451" t="b">
        <v>0</v>
      </c>
      <c r="AJ5" s="557"/>
    </row>
    <row r="6" spans="2:36" ht="30" customHeight="1">
      <c r="B6" s="469"/>
      <c r="C6" s="480" t="s">
        <v>87</v>
      </c>
      <c r="D6" s="481"/>
      <c r="E6" s="481"/>
      <c r="F6" s="481"/>
      <c r="G6" s="482"/>
      <c r="H6" s="493"/>
      <c r="I6" s="494"/>
      <c r="J6" s="494"/>
      <c r="K6" s="494"/>
      <c r="L6" s="494"/>
      <c r="M6" s="494"/>
      <c r="N6" s="495"/>
      <c r="O6" s="428" t="str">
        <f>IF(COUNTA(H6)=0,"×","○")</f>
        <v>×</v>
      </c>
      <c r="P6" s="486" t="str">
        <f>IF(O6="×","【要修正】法人の場合は法人名、個人事業主の場合は屋号を入力してください。","適切に入力がされました。")</f>
        <v>【要修正】法人の場合は法人名、個人事業主の場合は屋号を入力してください。</v>
      </c>
      <c r="Q6" s="487"/>
      <c r="R6" s="487"/>
      <c r="S6" s="487"/>
      <c r="T6" s="487"/>
      <c r="U6" s="487"/>
      <c r="V6" s="487"/>
      <c r="W6" s="487"/>
      <c r="X6" s="488"/>
      <c r="Y6" s="488"/>
      <c r="Z6" s="488"/>
      <c r="AA6" s="488"/>
      <c r="AB6" s="489"/>
      <c r="AC6" s="424"/>
      <c r="AD6" s="424"/>
      <c r="AJ6" s="429" t="str">
        <f>IF(O6="○","",C6&amp;"/")</f>
        <v>事業者名（法人名または屋号）/</v>
      </c>
    </row>
    <row r="7" spans="2:36" ht="30" customHeight="1">
      <c r="B7" s="469"/>
      <c r="C7" s="480" t="s">
        <v>88</v>
      </c>
      <c r="D7" s="481"/>
      <c r="E7" s="481"/>
      <c r="F7" s="481"/>
      <c r="G7" s="482"/>
      <c r="H7" s="493"/>
      <c r="I7" s="494"/>
      <c r="J7" s="494"/>
      <c r="K7" s="494"/>
      <c r="L7" s="494"/>
      <c r="M7" s="494"/>
      <c r="N7" s="495"/>
      <c r="O7" s="428" t="str">
        <f>IF(COUNTA(H7)=0,"×","○")</f>
        <v>×</v>
      </c>
      <c r="P7" s="486" t="str">
        <f>IF(O7="×","【要修正】代表者の職名（「理事長」等）を入力してください。","適切に入力がされました。")</f>
        <v>【要修正】代表者の職名（「理事長」等）を入力してください。</v>
      </c>
      <c r="Q7" s="487"/>
      <c r="R7" s="487"/>
      <c r="S7" s="487"/>
      <c r="T7" s="487"/>
      <c r="U7" s="487"/>
      <c r="V7" s="487"/>
      <c r="W7" s="487"/>
      <c r="X7" s="488"/>
      <c r="Y7" s="488"/>
      <c r="Z7" s="488"/>
      <c r="AA7" s="488"/>
      <c r="AB7" s="489"/>
      <c r="AC7" s="424"/>
      <c r="AJ7" s="429" t="str">
        <f>IF(O7="○","",C7&amp;"/")</f>
        <v>代表者役職/</v>
      </c>
    </row>
    <row r="8" spans="2:36" ht="30" customHeight="1">
      <c r="B8" s="469"/>
      <c r="C8" s="480" t="s">
        <v>92</v>
      </c>
      <c r="D8" s="481"/>
      <c r="E8" s="481"/>
      <c r="F8" s="481"/>
      <c r="G8" s="482"/>
      <c r="H8" s="493"/>
      <c r="I8" s="494"/>
      <c r="J8" s="494"/>
      <c r="K8" s="494"/>
      <c r="L8" s="494"/>
      <c r="M8" s="494"/>
      <c r="N8" s="495"/>
      <c r="O8" s="428" t="str">
        <f>IF(COUNTA(H8)=0,"×","○")</f>
        <v>×</v>
      </c>
      <c r="P8" s="486" t="str">
        <f>IF(O8="×","【要修正】代表者の氏名（例：「愛知　太郎」）を入力してください。","適切に入力がされました。")</f>
        <v>【要修正】代表者の氏名（例：「愛知　太郎」）を入力してください。</v>
      </c>
      <c r="Q8" s="487"/>
      <c r="R8" s="487"/>
      <c r="S8" s="487"/>
      <c r="T8" s="487"/>
      <c r="U8" s="487"/>
      <c r="V8" s="487"/>
      <c r="W8" s="487"/>
      <c r="X8" s="488"/>
      <c r="Y8" s="488"/>
      <c r="Z8" s="488"/>
      <c r="AA8" s="488"/>
      <c r="AB8" s="489"/>
      <c r="AC8" s="424"/>
      <c r="AJ8" s="429" t="str">
        <f>IF(O8="○","",C8&amp;"/")</f>
        <v>代表者氏名/</v>
      </c>
    </row>
    <row r="9" spans="2:36" ht="30" customHeight="1">
      <c r="B9" s="469"/>
      <c r="C9" s="480" t="s">
        <v>93</v>
      </c>
      <c r="D9" s="481"/>
      <c r="E9" s="481"/>
      <c r="F9" s="481"/>
      <c r="G9" s="482"/>
      <c r="H9" s="493"/>
      <c r="I9" s="494"/>
      <c r="J9" s="494"/>
      <c r="K9" s="494"/>
      <c r="L9" s="494"/>
      <c r="M9" s="494"/>
      <c r="N9" s="495"/>
      <c r="O9" s="428" t="str">
        <f>IF(COUNTA(H9)=0,"×","○")</f>
        <v>×</v>
      </c>
      <c r="P9" s="486" t="str">
        <f>IF(O9="×","【要修正】法人の場合は法人所在地、個人事業主の場合は貴医療機関の所在地を入力してください","適切に入力がされました。")</f>
        <v>【要修正】法人の場合は法人所在地、個人事業主の場合は貴医療機関の所在地を入力してください</v>
      </c>
      <c r="Q9" s="487"/>
      <c r="R9" s="487"/>
      <c r="S9" s="487"/>
      <c r="T9" s="487"/>
      <c r="U9" s="487"/>
      <c r="V9" s="487"/>
      <c r="W9" s="487"/>
      <c r="X9" s="488"/>
      <c r="Y9" s="488"/>
      <c r="Z9" s="488"/>
      <c r="AA9" s="488"/>
      <c r="AB9" s="489"/>
      <c r="AC9" s="424"/>
      <c r="AJ9" s="429" t="str">
        <f>IF(O9="○","",C9&amp;"/")</f>
        <v>所在地/</v>
      </c>
    </row>
    <row r="10" spans="2:36" ht="30" customHeight="1">
      <c r="B10" s="469"/>
      <c r="C10" s="480" t="s">
        <v>94</v>
      </c>
      <c r="D10" s="481"/>
      <c r="E10" s="481"/>
      <c r="F10" s="481"/>
      <c r="G10" s="482"/>
      <c r="H10" s="493"/>
      <c r="I10" s="494"/>
      <c r="J10" s="494"/>
      <c r="K10" s="494"/>
      <c r="L10" s="494"/>
      <c r="M10" s="494"/>
      <c r="N10" s="495"/>
      <c r="O10" s="428" t="str">
        <f xml:space="preserve">
IF(O3="×","×",
IF(AND(OR(O3="○"&amp;CHAR(10)&amp;"（個人）",O3="○"&amp;CHAR(10)&amp;"（法人）"),H10=""),"×",
IF(AND(O3="○"&amp;CHAR(10)&amp;"（法人）",H6=H10),"×",
IF(AND(O3="○"&amp;CHAR(10)&amp;"（法人）",H6&lt;&gt;H10),"○",
IF(AND(O3="○"&amp;CHAR(10)&amp;"（個人）",H6=H10),"○",
IF(AND(O3="○"&amp;CHAR(10)&amp;"（個人）",H6&lt;&gt;H10),"×",
IF(AND(O3="○"&amp;CHAR(10)&amp;"（公立）",H6=H10),"×",
IF(AND(O3="○"&amp;CHAR(10)&amp;"（公立）",H6&lt;&gt;H10),"○"
))))))))</f>
        <v>×</v>
      </c>
      <c r="P10" s="548" t="str">
        <f xml:space="preserve">
IF(O3="×","【要修正】「法人・個人事業主の別」の入力に問題があります。",
IF(AND(OR(O3="○"&amp;CHAR(10)&amp;"（個人）",O3="○"&amp;CHAR(10)&amp;"（法人）",O3="○"&amp;CHAR(10)&amp;"（公立）"),H10=""),"【要修正】医療機関の施設名称を入力してください。",
IF(AND(O3="○"&amp;CHAR(10)&amp;"（法人）",H6=H10),"【要修正】法人名ではなく、施設名を入力してください。（「医療法人」等は記載不要）",
IF(AND(O3="○"&amp;CHAR(10)&amp;"（法人）",H6&lt;&gt;H10),"適切に入力がされました。",
IF(AND(O3="○"&amp;CHAR(10)&amp;"（個人）",H6=H10),"適切に入力がされました。",
IF(AND(O3="○"&amp;CHAR(10)&amp;"（個人）",H6&lt;&gt;H10),"【要修正】個人事業主の場合は「事業者名」欄と一致するように入力してください。（コピー＆貼り付け入力推奨）",
IF(AND(O3="○"&amp;CHAR(10)&amp;"（公立）",H6=H10),"【要修正】自治体名ではなく、施設名を入力してください。（自治体名の記載は不要）",
IF(AND(O3="○"&amp;CHAR(10)&amp;"（公立）",H6&lt;&gt;H10),"適切に入力がされました。"
))))))))</f>
        <v>【要修正】「法人・個人事業主の別」の入力に問題があります。</v>
      </c>
      <c r="Q10" s="546"/>
      <c r="R10" s="546"/>
      <c r="S10" s="546"/>
      <c r="T10" s="546"/>
      <c r="U10" s="546"/>
      <c r="V10" s="546"/>
      <c r="W10" s="546"/>
      <c r="X10" s="488"/>
      <c r="Y10" s="488"/>
      <c r="Z10" s="488"/>
      <c r="AA10" s="488"/>
      <c r="AB10" s="489"/>
      <c r="AC10" s="424"/>
      <c r="AJ10" s="429" t="str">
        <f xml:space="preserve">
IF(O3="×",C10,
IF(AND(OR(O3="○"&amp;CHAR(10)&amp;"（個人）",O3="○"&amp;CHAR(10)&amp;"（法人）",O3="○"&amp;CHAR(10)&amp;"（公立）"),H10=""),C10,
IF(AND(O3="○"&amp;CHAR(10)&amp;"（法人）",H6=H10),C10,
IF(AND(O3="○"&amp;CHAR(10)&amp;"（法人）",H6&lt;&gt;H10),"",
IF(AND(O3="○"&amp;CHAR(10)&amp;"（個人）",H6=H10),"",
IF(AND(O3="○"&amp;CHAR(10)&amp;"（個人）",H6&lt;&gt;H10),C10,
IF(AND(O3="○"&amp;CHAR(10)&amp;"（公立）",H6=H10),C10,
IF(AND(O3="○"&amp;CHAR(10)&amp;"（公立）",H6&lt;&gt;H10),""
))))))))</f>
        <v>施設の名称</v>
      </c>
    </row>
    <row r="11" spans="2:36" ht="30" customHeight="1">
      <c r="B11" s="469"/>
      <c r="C11" s="480" t="s">
        <v>95</v>
      </c>
      <c r="D11" s="481"/>
      <c r="E11" s="481"/>
      <c r="F11" s="481"/>
      <c r="G11" s="482"/>
      <c r="H11" s="493"/>
      <c r="I11" s="494"/>
      <c r="J11" s="494"/>
      <c r="K11" s="494"/>
      <c r="L11" s="494"/>
      <c r="M11" s="494"/>
      <c r="N11" s="495"/>
      <c r="O11" s="428" t="str">
        <f>IF(COUNTA(H11)=0,"×","○")</f>
        <v>×</v>
      </c>
      <c r="P11" s="548" t="str">
        <f>IF(COUNTA(H11)=0,"【要修正】「施設の名称」欄に入力した施設の所在地を入力してください。","適切に入力がされました。")</f>
        <v>【要修正】「施設の名称」欄に入力した施設の所在地を入力してください。</v>
      </c>
      <c r="Q11" s="546"/>
      <c r="R11" s="546"/>
      <c r="S11" s="546"/>
      <c r="T11" s="546"/>
      <c r="U11" s="546"/>
      <c r="V11" s="546"/>
      <c r="W11" s="546"/>
      <c r="X11" s="546"/>
      <c r="Y11" s="546"/>
      <c r="Z11" s="546"/>
      <c r="AA11" s="546"/>
      <c r="AB11" s="547"/>
      <c r="AC11" s="430"/>
      <c r="AJ11" s="429" t="str">
        <f>IF(O11="○","",C11&amp;"/")</f>
        <v>施設所在地/</v>
      </c>
    </row>
    <row r="12" spans="2:36" ht="30" customHeight="1">
      <c r="B12" s="469"/>
      <c r="C12" s="549" t="s">
        <v>1149</v>
      </c>
      <c r="D12" s="550"/>
      <c r="E12" s="550"/>
      <c r="F12" s="550"/>
      <c r="G12" s="551"/>
      <c r="H12" s="555" t="s">
        <v>832</v>
      </c>
      <c r="I12" s="556"/>
      <c r="J12" s="556"/>
      <c r="K12" s="27"/>
      <c r="L12" s="431" t="s">
        <v>96</v>
      </c>
      <c r="M12" s="480"/>
      <c r="N12" s="504"/>
      <c r="O12" s="428" t="str">
        <f>IF(COUNTA(K12)=0,"×","○")</f>
        <v>×</v>
      </c>
      <c r="P12" s="548" t="str">
        <f>IF(O12="×","【要修正】フェーズ２における確保病床数を入力してください。","適切に入力がされました。")</f>
        <v>【要修正】フェーズ２における確保病床数を入力してください。</v>
      </c>
      <c r="Q12" s="546"/>
      <c r="R12" s="546"/>
      <c r="S12" s="546"/>
      <c r="T12" s="546"/>
      <c r="U12" s="546"/>
      <c r="V12" s="546"/>
      <c r="W12" s="546"/>
      <c r="X12" s="546"/>
      <c r="Y12" s="546"/>
      <c r="Z12" s="546"/>
      <c r="AA12" s="546"/>
      <c r="AB12" s="547"/>
      <c r="AC12" s="430"/>
      <c r="AJ12" s="432" t="str">
        <f>IF(O12="○","",C11&amp;"（既設病床数）/")</f>
        <v>施設所在地（既設病床数）/</v>
      </c>
    </row>
    <row r="13" spans="2:36" ht="30" customHeight="1">
      <c r="B13" s="469"/>
      <c r="C13" s="552"/>
      <c r="D13" s="553"/>
      <c r="E13" s="553"/>
      <c r="F13" s="553"/>
      <c r="G13" s="554"/>
      <c r="H13" s="555" t="s">
        <v>833</v>
      </c>
      <c r="I13" s="556"/>
      <c r="J13" s="556"/>
      <c r="K13" s="27"/>
      <c r="L13" s="431" t="s">
        <v>96</v>
      </c>
      <c r="M13" s="433"/>
      <c r="N13" s="434"/>
      <c r="O13" s="428" t="str">
        <f>IF(COUNTA(K13)=0,"×","○")</f>
        <v>×</v>
      </c>
      <c r="P13" s="548" t="str">
        <f>IF(O13="×","【要修正】緊急フェーズにおける確保病床数を入力してください。","適切に入力がされました。")</f>
        <v>【要修正】緊急フェーズにおける確保病床数を入力してください。</v>
      </c>
      <c r="Q13" s="546"/>
      <c r="R13" s="546"/>
      <c r="S13" s="546"/>
      <c r="T13" s="546"/>
      <c r="U13" s="546"/>
      <c r="V13" s="546"/>
      <c r="W13" s="546"/>
      <c r="X13" s="546"/>
      <c r="Y13" s="546"/>
      <c r="Z13" s="546"/>
      <c r="AA13" s="546"/>
      <c r="AB13" s="547"/>
      <c r="AC13" s="430"/>
      <c r="AJ13" s="432" t="str">
        <f>IF(O13="○","",C12&amp;"（今年度整備病床数）/")</f>
        <v>確保病床数（今年度整備病床数）/</v>
      </c>
    </row>
    <row r="14" spans="2:36" ht="90" customHeight="1">
      <c r="B14" s="469"/>
      <c r="C14" s="480" t="s">
        <v>99</v>
      </c>
      <c r="D14" s="481"/>
      <c r="E14" s="481"/>
      <c r="F14" s="481"/>
      <c r="G14" s="482"/>
      <c r="H14" s="435" t="s">
        <v>100</v>
      </c>
      <c r="I14" s="28"/>
      <c r="J14" s="436" t="s">
        <v>101</v>
      </c>
      <c r="K14" s="28"/>
      <c r="L14" s="436" t="s">
        <v>102</v>
      </c>
      <c r="M14" s="28"/>
      <c r="N14" s="437" t="s">
        <v>103</v>
      </c>
      <c r="O14" s="428" t="str">
        <f xml:space="preserve">
IF(AND(テーブル!B2="事前協議",COUNTA(I14,K14,M14)=3,テーブル!G13&lt;=テーブル!G10,テーブル!G13&gt;=テーブル!G9),
"○",
IF(AND(テーブル!B2="事前協議",OR(COUNTA(I14,K14,M14)&lt;&gt;3,テーブル!G13&gt;テーブル!G10,テーブル!G13&lt;テーブル!G9)),
"×",
IF(AND(OR(テーブル!B2="交付申請",テーブル!B2="交付申請（２次以降）"),COUNTA(I14,K14,M14)=3,テーブル!G13&gt;=テーブル!G9),
"○",
IF(AND(OR(テーブル!B2="交付申請",テーブル!B2="交付申請（２次以降）"),OR(COUNTA(I14,K14,M14)&lt;&gt;3,テーブル!G13&gt;テーブル!G17,テーブル!G13&lt;テーブル!G16)),
"×",
IF(AND(テーブル!B2="変更申請",COUNTA(I14,K14,M14)=3,テーブル!G13&lt;=テーブル!G12,テーブル!G13&gt;=テーブル!G11),
"○",
IF(AND(テーブル!B2="変更申請",OR(COUNTA(I14,K14,M14)&lt;&gt;3,テーブル!G13&gt;テーブル!G12,テーブル!G13&lt;テーブル!G11)),
"×",
IF(AND(テーブル!B2="実績報告",はじめに入力してください!L20="",はじめに入力してください!O45="×"),
"×",
IF(AND(テーブル!B2="実績報告",はじめに入力してください!L20&lt;&gt;"",はじめに入力してください!O45="×"),
"×",
IF(AND(テーブル!B2="実績報告",はじめに入力してください!L20="",はじめに入力してください!O45="○"),
"×",
IF(AND(テーブル!B2="実績報告",COUNTA(L20)=1,はじめに入力してください!O45="○",テーブル!G13&gt;=MAX(テーブル!G14,テーブル!G15),テーブル!G13&lt;=MAX(テーブル!G14+30,テーブル!G15+30)),
"○"
))))))))))</f>
        <v>×</v>
      </c>
      <c r="P14" s="545" t="str">
        <f xml:space="preserve">
IF(AND(テーブル!B2="事前協議",COUNTA(I14,K14,M14)=3,テーブル!G13&lt;=テーブル!G10,テーブル!G13&gt;=テーブル!G9),
"適切に入力がされました。",
IF(AND(テーブル!B2="事前協議",
OR(COUNTA(I14,K14,M14)&lt;&gt;3,テーブル!G13&gt;テーブル!G10,テーブル!G13&lt;テーブル!G9)),
"【要修正】協議書の提出期間（"&amp;TEXT(テーブル!G9,"yyyy年mm月dd日")&amp;"～"&amp;TEXT(テーブル!G10,"yyyy年mm月dd日")&amp;"）の日付を入力してください。",
IF(AND(OR(テーブル!B2="交付申請",テーブル!B2="交付申請（２次以降）"),
COUNTA(I14,K14,M14)=3,テーブル!G13&gt;=テーブル!G16),
"適切に入力がされました。",
IF(AND(OR(テーブル!B2="交付申請",テーブル!B2="交付申請（２次以降）"),
OR(COUNTA(I14,K14,M14)&lt;&gt;3,テーブル!G13&gt;テーブル!G17,テーブル!G13&lt;テーブル!G16)),
"【要修正】"&amp;CHAR(10)&amp;"《事前協議を要する場合》事前協議の結果通知日から国事業完了日（"&amp;TEXT(テーブル!G17,"yyyy年mm月dd日")&amp;"）までの日付を入力してください。"&amp;CHAR(10)&amp;"《個人防護具のみ申請の場合》受付期間の日付"&amp;"（"&amp;TEXT(テーブル!G11,"yyyy年mm月dd日")&amp;"～"&amp;TEXT(テーブル!G12,"yyyy年mm月dd日")&amp;"）の日付を入力してください。",
IF(AND(テーブル!B2="変更申請",COUNTA(I14,K14,M14)=3,テーブル!G13&lt;=テーブル!G12,テーブル!G13&gt;=テーブル!G11),
"適切に入力がされました。",
IF(AND(テーブル!B2="変更申請",OR(COUNTA(I14,K14,M14)&lt;&gt;3,テーブル!G13&gt;テーブル!G12,テーブル!G13&lt;テーブル!G11)),
"【要修正】受付期間の日付"&amp;"（"&amp;TEXT(テーブル!G11,"yyyy年mm月dd日")&amp;"～"&amp;TEXT(テーブル!G12,"yyyy年mm月dd日")&amp;"）の日付を入力してください。",
IF(AND(テーブル!B2="実績報告",はじめに入力してください!L20="",はじめに入力してください!O45="×"),
"【要修正】《関連記入欄（本シートの「交付決定番号」、「額内訳書」シートの事業完了日）が適切に入力されると×の判定は解消されます。》"
&amp;CHAR(10)&amp;"交付決定日、事業完了日のいずれか遅い日から30日後までの日付を入力してください。（交付決定番号（下部に記入欄あり）及び額内訳書（別シート）に事業完了日を入力すると、提出日とすべき期間がコメントに表示されます。）",
IF(AND(テーブル!B2="実績報告",はじめに入力してください!L20&lt;&gt;"",はじめに入力してください!O45="×"),
"【要修正】関係項目を入力し整合が取れると判定が○となります。"&amp;CHAR(10)&amp;
"・交付決定日："&amp;TEXT(テーブル!G15,"yyyy年mm月dd日")&amp;"→"&amp;TEXT(テーブル!G15,"mm月dd日")&amp;"～"&amp;TEXT(テーブル!G15+30,"mm月dd日")&amp;CHAR(10)&amp;
"・事業完了日：額内訳書（別シート）に事業完了日を入力すると、交付決定日および事業完了日から提出日とすべき期間がコメントに表示されます。）",
IF(AND(テーブル!B2="実績報告",はじめに入力してください!L20="",はじめに入力してください!O45="○"),
"【要修正】関係項目を入力し整合が取れると判定が○となります。"&amp;CHAR(10)&amp;
"・交付決定日：交付決定番号（下部の欄）を入力すると、交付決定日および事業完了日から提出日とすべき期間がコメントに表示されます。）"&amp;CHAR(10)&amp;
"・事業完了日："&amp;TEXT(テーブル!G14,"yyyy年mm月dd日")&amp;"→"&amp;TEXT(テーブル!G14,"mm月dd日")&amp;"～"&amp;TEXT(テーブル!G14+30,"mm月dd日"),
IF(AND(テーブル!B2="実績報告",COUNTA(L20)=1,はじめに入力してください!O45="○",
テーブル!G13&gt;=MAX(テーブル!G14,テーブル!G15),テーブル!G13&lt;=MAX(テーブル!G14+30,テーブル!G15+30)),
"適切に入力がされました。"
)))))))))
)</f>
        <v>【要修正】
《事前協議を要する場合》事前協議の結果通知日から国事業完了日（2023年03月31日）までの日付を入力してください。
《個人防護具のみ申請の場合》受付期間の日付（2023年01月15日～2023年02月14日）の日付を入力してください。</v>
      </c>
      <c r="Q14" s="546"/>
      <c r="R14" s="546"/>
      <c r="S14" s="546"/>
      <c r="T14" s="546"/>
      <c r="U14" s="546"/>
      <c r="V14" s="546"/>
      <c r="W14" s="546"/>
      <c r="X14" s="546"/>
      <c r="Y14" s="546"/>
      <c r="Z14" s="546"/>
      <c r="AA14" s="546"/>
      <c r="AB14" s="547"/>
      <c r="AC14" s="430"/>
      <c r="AJ14" s="429" t="str">
        <f t="shared" ref="AJ14:AJ20" si="0">IF(O14="○","",C14&amp;"/")</f>
        <v>提出日/</v>
      </c>
    </row>
    <row r="15" spans="2:36" ht="30" customHeight="1">
      <c r="B15" s="469"/>
      <c r="C15" s="480" t="s">
        <v>104</v>
      </c>
      <c r="D15" s="481"/>
      <c r="E15" s="481"/>
      <c r="F15" s="481"/>
      <c r="G15" s="482"/>
      <c r="H15" s="493"/>
      <c r="I15" s="494"/>
      <c r="J15" s="494"/>
      <c r="K15" s="494"/>
      <c r="L15" s="494"/>
      <c r="M15" s="494"/>
      <c r="N15" s="495"/>
      <c r="O15" s="428" t="s">
        <v>105</v>
      </c>
      <c r="P15" s="548" t="s">
        <v>106</v>
      </c>
      <c r="Q15" s="546"/>
      <c r="R15" s="546"/>
      <c r="S15" s="546"/>
      <c r="T15" s="546"/>
      <c r="U15" s="546"/>
      <c r="V15" s="546"/>
      <c r="W15" s="546"/>
      <c r="X15" s="546"/>
      <c r="Y15" s="546"/>
      <c r="Z15" s="546"/>
      <c r="AA15" s="546"/>
      <c r="AB15" s="547"/>
      <c r="AC15" s="430"/>
      <c r="AJ15" s="429" t="str">
        <f t="shared" si="0"/>
        <v/>
      </c>
    </row>
    <row r="16" spans="2:36" ht="30" customHeight="1">
      <c r="B16" s="469"/>
      <c r="C16" s="480" t="s">
        <v>108</v>
      </c>
      <c r="D16" s="481"/>
      <c r="E16" s="481"/>
      <c r="F16" s="481"/>
      <c r="G16" s="482"/>
      <c r="H16" s="493"/>
      <c r="I16" s="494"/>
      <c r="J16" s="494"/>
      <c r="K16" s="494"/>
      <c r="L16" s="494"/>
      <c r="M16" s="494"/>
      <c r="N16" s="495"/>
      <c r="O16" s="428" t="str">
        <f>IF(COUNTA(H16)=0,"×","○")</f>
        <v>×</v>
      </c>
      <c r="P16" s="486" t="str">
        <f>IF(COUNTA(H16)=0,"【要修正】この申請をご担当される方が所属する部署名、部署を置いていない場合は職務（例：医師、事務等）を入力してください。","適切に入力がされました。")</f>
        <v>【要修正】この申請をご担当される方が所属する部署名、部署を置いていない場合は職務（例：医師、事務等）を入力してください。</v>
      </c>
      <c r="Q16" s="487"/>
      <c r="R16" s="487"/>
      <c r="S16" s="487"/>
      <c r="T16" s="487"/>
      <c r="U16" s="487"/>
      <c r="V16" s="487"/>
      <c r="W16" s="487"/>
      <c r="X16" s="488"/>
      <c r="Y16" s="488"/>
      <c r="Z16" s="488"/>
      <c r="AA16" s="488"/>
      <c r="AB16" s="489"/>
      <c r="AC16" s="424"/>
      <c r="AJ16" s="429" t="str">
        <f t="shared" si="0"/>
        <v>担当部署/</v>
      </c>
    </row>
    <row r="17" spans="2:38" ht="30" customHeight="1">
      <c r="B17" s="469"/>
      <c r="C17" s="480" t="s">
        <v>110</v>
      </c>
      <c r="D17" s="481"/>
      <c r="E17" s="481"/>
      <c r="F17" s="481"/>
      <c r="G17" s="482"/>
      <c r="H17" s="493"/>
      <c r="I17" s="494"/>
      <c r="J17" s="494"/>
      <c r="K17" s="494"/>
      <c r="L17" s="494"/>
      <c r="M17" s="494"/>
      <c r="N17" s="495"/>
      <c r="O17" s="428" t="str">
        <f>IF(COUNTA(H17)=0,"×","○")</f>
        <v>×</v>
      </c>
      <c r="P17" s="486" t="str">
        <f>IF(COUNTA(H17)=0,"【要修正】この申請をご担当される方の氏名（フルネーム）を入力してください。（例：愛知　太郎）","適切に入力がされました。")</f>
        <v>【要修正】この申請をご担当される方の氏名（フルネーム）を入力してください。（例：愛知　太郎）</v>
      </c>
      <c r="Q17" s="487"/>
      <c r="R17" s="487"/>
      <c r="S17" s="487"/>
      <c r="T17" s="487"/>
      <c r="U17" s="487"/>
      <c r="V17" s="487"/>
      <c r="W17" s="487"/>
      <c r="X17" s="488"/>
      <c r="Y17" s="488"/>
      <c r="Z17" s="488"/>
      <c r="AA17" s="488"/>
      <c r="AB17" s="489"/>
      <c r="AC17" s="424"/>
      <c r="AD17" s="424"/>
      <c r="AJ17" s="429" t="str">
        <f t="shared" si="0"/>
        <v>担当者名/</v>
      </c>
    </row>
    <row r="18" spans="2:38" ht="30" customHeight="1">
      <c r="B18" s="469"/>
      <c r="C18" s="480" t="s">
        <v>111</v>
      </c>
      <c r="D18" s="481"/>
      <c r="E18" s="481"/>
      <c r="F18" s="481"/>
      <c r="G18" s="482"/>
      <c r="H18" s="493"/>
      <c r="I18" s="494"/>
      <c r="J18" s="494"/>
      <c r="K18" s="494"/>
      <c r="L18" s="494"/>
      <c r="M18" s="494"/>
      <c r="N18" s="495"/>
      <c r="O18" s="428" t="str">
        <f>IF(COUNTA(H18)=0,"×","○")</f>
        <v>×</v>
      </c>
      <c r="P18" s="486" t="str">
        <f>IF(COUNTA(H18)=0,"【要修正】申請に関するやりとりをするための電話番号を入力してください。","適切に入力がされました。")</f>
        <v>【要修正】申請に関するやりとりをするための電話番号を入力してください。</v>
      </c>
      <c r="Q18" s="487"/>
      <c r="R18" s="487"/>
      <c r="S18" s="487"/>
      <c r="T18" s="487"/>
      <c r="U18" s="487"/>
      <c r="V18" s="487"/>
      <c r="W18" s="487"/>
      <c r="X18" s="488"/>
      <c r="Y18" s="488"/>
      <c r="Z18" s="488"/>
      <c r="AA18" s="488"/>
      <c r="AB18" s="489"/>
      <c r="AC18" s="424"/>
      <c r="AD18" s="424"/>
      <c r="AJ18" s="429" t="str">
        <f t="shared" si="0"/>
        <v>電話番号（担当直通）/</v>
      </c>
      <c r="AL18" s="405" t="s">
        <v>112</v>
      </c>
    </row>
    <row r="19" spans="2:38" ht="30" customHeight="1">
      <c r="B19" s="469"/>
      <c r="C19" s="480" t="s">
        <v>113</v>
      </c>
      <c r="D19" s="481"/>
      <c r="E19" s="481"/>
      <c r="F19" s="481"/>
      <c r="G19" s="482"/>
      <c r="H19" s="483"/>
      <c r="I19" s="484"/>
      <c r="J19" s="484"/>
      <c r="K19" s="484"/>
      <c r="L19" s="484"/>
      <c r="M19" s="484"/>
      <c r="N19" s="485"/>
      <c r="O19" s="428" t="str">
        <f>IF(COUNTA(H19)=0,"×","○")</f>
        <v>×</v>
      </c>
      <c r="P19" s="486" t="str">
        <f>IF(COUNTA(H19)=0,"【要修正】【重要：各種手続で用いるため間違えないように入力】申請に関するやりとりをするためのメールアドレスを入力してください。","適切に入力がされました。")</f>
        <v>【要修正】【重要：各種手続で用いるため間違えないように入力】申請に関するやりとりをするためのメールアドレスを入力してください。</v>
      </c>
      <c r="Q19" s="487"/>
      <c r="R19" s="487"/>
      <c r="S19" s="487"/>
      <c r="T19" s="487"/>
      <c r="U19" s="487"/>
      <c r="V19" s="487"/>
      <c r="W19" s="487"/>
      <c r="X19" s="488"/>
      <c r="Y19" s="488"/>
      <c r="Z19" s="488"/>
      <c r="AA19" s="488"/>
      <c r="AB19" s="489"/>
      <c r="AC19" s="424"/>
      <c r="AD19" s="424"/>
      <c r="AJ19" s="429" t="str">
        <f t="shared" si="0"/>
        <v>Mailｱﾄﾞﾚｽ（担当直通）/</v>
      </c>
      <c r="AL19" s="405" t="s">
        <v>114</v>
      </c>
    </row>
    <row r="20" spans="2:38" ht="50.15" customHeight="1">
      <c r="B20" s="470"/>
      <c r="C20" s="480" t="str">
        <f xml:space="preserve">
IF(テーブル!B2="事前協議","既交付決定通知番号",
IF(テーブル!B2="交付申請","－",
IF(テーブル!B2="交付申請（２次以降）","既交付決定通知番号",
IF(テーブル!B2="変更申請","既交付決定通知番号",
IF(テーブル!B2="実績報告","既交付決定通知番号")))))</f>
        <v>既交付決定通知番号</v>
      </c>
      <c r="D20" s="481"/>
      <c r="E20" s="481"/>
      <c r="F20" s="481"/>
      <c r="G20" s="482"/>
      <c r="H20" s="480" t="s">
        <v>115</v>
      </c>
      <c r="I20" s="490"/>
      <c r="J20" s="490"/>
      <c r="K20" s="490"/>
      <c r="L20" s="491"/>
      <c r="M20" s="492"/>
      <c r="N20" s="438" t="s">
        <v>116</v>
      </c>
      <c r="O20" s="428" t="str">
        <f xml:space="preserve">
IF(C20="－","○",
IF(AND(C20="既交付決定通知番号",COUNTA(L20)=0),"×",
IF(AND(C20="既交付決定通知番号",COUNTA(L20)=1),"○"
)))</f>
        <v>×</v>
      </c>
      <c r="P20" s="486" t="str">
        <f xml:space="preserve">
IF(C20="－","入力不要です。",
IF(AND(C20="既交付決定通知番号",COUNTA(L20)=0),"【要修正】前回の交付申請の際に郵送された交付決定通知書を確認し、右肩に記載の番号をプルダウンから選択してください。（交付申請をしていない場合は「新規」を選択してください。）",
IF(AND(C20="既交付決定通知番号",COUNTA(L20)=1),"正常に入力がされました。"
)))</f>
        <v>【要修正】前回の交付申請の際に郵送された交付決定通知書を確認し、右肩に記載の番号をプルダウンから選択してください。（交付申請をしていない場合は「新規」を選択してください。）</v>
      </c>
      <c r="Q20" s="488"/>
      <c r="R20" s="488"/>
      <c r="S20" s="488"/>
      <c r="T20" s="488"/>
      <c r="U20" s="488"/>
      <c r="V20" s="488"/>
      <c r="W20" s="488"/>
      <c r="X20" s="488"/>
      <c r="Y20" s="488"/>
      <c r="Z20" s="488"/>
      <c r="AA20" s="488"/>
      <c r="AB20" s="489"/>
      <c r="AC20" s="424"/>
      <c r="AD20" s="424"/>
      <c r="AE20" s="439" t="str">
        <f>IF(L20="","",IF(L20="新規","新規","入院第"&amp;L20&amp;"号"))</f>
        <v/>
      </c>
      <c r="AJ20" s="429" t="str">
        <f t="shared" si="0"/>
        <v>既交付決定通知番号/</v>
      </c>
    </row>
    <row r="21" spans="2:38" ht="30" customHeight="1">
      <c r="B21" s="578"/>
      <c r="C21" s="473" t="str">
        <f xml:space="preserve">
IF(テーブル!B2="事前協議","－",
IF(テーブル!B2="交付申請","金融機関番号",
IF(テーブル!B2="交付申請（２次以降）","金融機関番号",
IF(テーブル!B2="変更申請","－",
IF(テーブル!B2="実績報告","－"
)))))</f>
        <v>金融機関番号</v>
      </c>
      <c r="D21" s="471"/>
      <c r="E21" s="471"/>
      <c r="F21" s="471"/>
      <c r="G21" s="472"/>
      <c r="H21" s="458"/>
      <c r="I21" s="459"/>
      <c r="J21" s="459"/>
      <c r="K21" s="460"/>
      <c r="L21" s="471"/>
      <c r="M21" s="471"/>
      <c r="N21" s="472"/>
      <c r="O21" s="251" t="str">
        <f xml:space="preserve">
IF(テーブル!B2="事前協議","○",
IF(AND(OR(テーブル!B2="交付申請",テーブル!B2="交付申請（２次以降）"),COUNTA(H21:K21)=4),"○",
IF(AND(OR(テーブル!B2="交付申請",テーブル!B2="交付申請（２次以降）"),COUNTA(H21:K21)&lt;&gt;4),"×",
IF(テーブル!B2="変更申請","○",
IF(テーブル!B2="実績報告","○")))))</f>
        <v>×</v>
      </c>
      <c r="P21" s="477" t="str">
        <f xml:space="preserve">
IF(AND(OR(テーブル!B2="交付申請",テーブル!B2="交付申請（２次以降）"),COUNTA(H21:K21)=4),"適切に入力がされました。",
IF(AND(OR(テーブル!B2="交付申請",テーブル!B2="交付申請（２次以降）"),COUNTA(H21:K21)&lt;&gt;4),"【要修正】振込先口座の金融機関コード（４桁）を入力してください。",
IF(テーブル!B2="事前協議","－",
IF(テーブル!B2="変更申請","－",
IF(テーブル!B2="実績報告","－")))))</f>
        <v>【要修正】振込先口座の金融機関コード（４桁）を入力してください。</v>
      </c>
      <c r="Q21" s="478"/>
      <c r="R21" s="478"/>
      <c r="S21" s="478"/>
      <c r="T21" s="478"/>
      <c r="U21" s="478"/>
      <c r="V21" s="478"/>
      <c r="W21" s="478"/>
      <c r="X21" s="478"/>
      <c r="Y21" s="478"/>
      <c r="Z21" s="478"/>
      <c r="AA21" s="478"/>
      <c r="AB21" s="479"/>
      <c r="AC21" s="424"/>
      <c r="AD21" s="424"/>
      <c r="AJ21" s="429" t="str">
        <f>IF(O21="○","",C21&amp;"/")</f>
        <v>金融機関番号/</v>
      </c>
    </row>
    <row r="22" spans="2:38" ht="30" customHeight="1">
      <c r="B22" s="579"/>
      <c r="C22" s="473" t="str">
        <f xml:space="preserve">
IF(テーブル!B2="事前協議","－",
IF(テーブル!B2="交付申請","金融機関名",
IF(テーブル!B2="交付申請（２次以降）","金融機関名",
IF(テーブル!B2="変更申請","－",
IF(テーブル!B2="実績報告","－"
)))))</f>
        <v>金融機関名</v>
      </c>
      <c r="D22" s="471"/>
      <c r="E22" s="471"/>
      <c r="F22" s="471"/>
      <c r="G22" s="472"/>
      <c r="H22" s="474"/>
      <c r="I22" s="475"/>
      <c r="J22" s="475"/>
      <c r="K22" s="475"/>
      <c r="L22" s="475"/>
      <c r="M22" s="475"/>
      <c r="N22" s="476"/>
      <c r="O22" s="251" t="str">
        <f xml:space="preserve">
IF(テーブル!B2="事前協議","○",
IF(AND(OR(テーブル!B2="交付申請",テーブル!B2="交付申請（２次以降）"),COUNTA(H22)=1),"○",
IF(AND(OR(テーブル!B2="交付申請",テーブル!B2="交付申請（２次以降）"),COUNTA(H22)&lt;&gt;1),"×",
IF(テーブル!B2="変更申請","○",
IF(テーブル!B2="実績報告","○")))))</f>
        <v>×</v>
      </c>
      <c r="P22" s="477" t="str">
        <f xml:space="preserve">
IF(AND(OR(テーブル!B2="交付申請",テーブル!B2="交付申請（２次以降）"),COUNTA(H22)=1),"適切に入力がされました",
IF(AND(OR(テーブル!B2="交付申請",テーブル!B2="交付申請（２次以降）"),COUNTA(H22)&lt;&gt;1),"【要修正】振込先口座の金融機関名を入力してください。（「○○銀行」まで）",
IF(テーブル!B2="事前協議","－",
IF(テーブル!B2="変更申請","－",
IF(テーブル!B2="実績報告","－")))))</f>
        <v>【要修正】振込先口座の金融機関名を入力してください。（「○○銀行」まで）</v>
      </c>
      <c r="Q22" s="478"/>
      <c r="R22" s="478"/>
      <c r="S22" s="478"/>
      <c r="T22" s="478"/>
      <c r="U22" s="478"/>
      <c r="V22" s="478"/>
      <c r="W22" s="478"/>
      <c r="X22" s="478"/>
      <c r="Y22" s="478"/>
      <c r="Z22" s="478"/>
      <c r="AA22" s="478"/>
      <c r="AB22" s="479"/>
      <c r="AC22" s="424"/>
      <c r="AD22" s="424"/>
      <c r="AJ22" s="457" t="str">
        <f t="shared" ref="AJ22:AJ26" si="1">IF(O22="○","",C22&amp;"/")</f>
        <v>金融機関名/</v>
      </c>
    </row>
    <row r="23" spans="2:38" ht="30" customHeight="1">
      <c r="B23" s="579"/>
      <c r="C23" s="480" t="str">
        <f xml:space="preserve">
IF(テーブル!B2="事前協議","－",
IF(テーブル!B2="交付申請","支店番号",
IF(テーブル!B2="交付申請（２次以降）","支店番号",
IF(テーブル!B2="変更申請","－",
IF(テーブル!B2="実績報告","－"
)))))</f>
        <v>支店番号</v>
      </c>
      <c r="D23" s="471"/>
      <c r="E23" s="471"/>
      <c r="F23" s="471"/>
      <c r="G23" s="472"/>
      <c r="H23" s="458"/>
      <c r="I23" s="459"/>
      <c r="J23" s="460"/>
      <c r="K23" s="471"/>
      <c r="L23" s="471"/>
      <c r="M23" s="471"/>
      <c r="N23" s="472"/>
      <c r="O23" s="251" t="str">
        <f xml:space="preserve">
IF(テーブル!B2="事前協議","○",
IF(AND(OR(テーブル!B2="交付申請",テーブル!B2="交付申請（２次以降）"),COUNTA(H23:J23)=3),"○",
IF(AND(OR(テーブル!B2="交付申請",テーブル!B2="交付申請（２次以降）"),COUNTA(H23:J23)&lt;&gt;3),"×",
IF(テーブル!B2="変更申請","○",
IF(テーブル!B2="実績報告","○")))))</f>
        <v>×</v>
      </c>
      <c r="P23" s="477" t="str">
        <f xml:space="preserve">
IF(AND(OR(テーブル!B2="交付申請",テーブル!B2="交付申請（２次以降）"),COUNTA(H23:J23)=3),"適切に入力がされました。",
IF(AND(OR(テーブル!B2="交付申請",テーブル!B2="交付申請（２次以降）"),COUNTA(H23:J23)&lt;&gt;3),"【要修正】振込先口座の支店コード（３桁）を入力してください。",
IF(テーブル!B2="事前協議","－",
IF(テーブル!B2="変更申請","－",
IF(テーブル!B2="実績報告","－")))))</f>
        <v>【要修正】振込先口座の支店コード（３桁）を入力してください。</v>
      </c>
      <c r="Q23" s="478"/>
      <c r="R23" s="478"/>
      <c r="S23" s="478"/>
      <c r="T23" s="478"/>
      <c r="U23" s="478"/>
      <c r="V23" s="478"/>
      <c r="W23" s="478"/>
      <c r="X23" s="478"/>
      <c r="Y23" s="478"/>
      <c r="Z23" s="478"/>
      <c r="AA23" s="478"/>
      <c r="AB23" s="479"/>
      <c r="AC23" s="424"/>
      <c r="AD23" s="424"/>
      <c r="AJ23" s="457" t="str">
        <f t="shared" si="1"/>
        <v>支店番号/</v>
      </c>
    </row>
    <row r="24" spans="2:38" ht="30" customHeight="1">
      <c r="B24" s="579"/>
      <c r="C24" s="480" t="str">
        <f xml:space="preserve">
IF(テーブル!B2="事前協議","－",
IF(テーブル!B2="交付申請","支店名",
IF(テーブル!B2="交付申請（２次以降）","支店名",
IF(テーブル!B2="変更申請","－",
IF(テーブル!B2="実績報告","－"
)))))</f>
        <v>支店名</v>
      </c>
      <c r="D24" s="471"/>
      <c r="E24" s="471"/>
      <c r="F24" s="471"/>
      <c r="G24" s="472"/>
      <c r="H24" s="474"/>
      <c r="I24" s="475"/>
      <c r="J24" s="475"/>
      <c r="K24" s="475"/>
      <c r="L24" s="475"/>
      <c r="M24" s="475"/>
      <c r="N24" s="476"/>
      <c r="O24" s="251" t="str">
        <f xml:space="preserve">
IF(テーブル!B2="事前協議","○",
IF(AND(OR(テーブル!B2="交付申請",テーブル!B2="交付申請（２次以降）"),COUNTA(H24)=1),"○",
IF(AND(OR(テーブル!B2="交付申請",テーブル!B2="交付申請（２次以降）"),COUNTA(H24)&lt;&gt;1),"×",
IF(テーブル!B2="変更申請","○",
IF(テーブル!B2="実績報告","○")))))</f>
        <v>×</v>
      </c>
      <c r="P24" s="477" t="str">
        <f xml:space="preserve">
IF(AND(OR(テーブル!B2="交付申請",テーブル!B2="交付申請（２次以降）"),COUNTA(H24)=1),"適切に入力がされました",
IF(AND(OR(テーブル!B2="交付申請",テーブル!B2="交付申請（２次以降）"),COUNTA(H24)&lt;&gt;1),"【要修正】振込先口座の店名（支店名）を入力してください。",
IF(テーブル!B2="事前協議","－",
IF(テーブル!B2="変更申請","－",
IF(テーブル!B2="実績報告","－")))))</f>
        <v>【要修正】振込先口座の店名（支店名）を入力してください。</v>
      </c>
      <c r="Q24" s="478"/>
      <c r="R24" s="478"/>
      <c r="S24" s="478"/>
      <c r="T24" s="478"/>
      <c r="U24" s="478"/>
      <c r="V24" s="478"/>
      <c r="W24" s="478"/>
      <c r="X24" s="478"/>
      <c r="Y24" s="478"/>
      <c r="Z24" s="478"/>
      <c r="AA24" s="478"/>
      <c r="AB24" s="479"/>
      <c r="AC24" s="424"/>
      <c r="AD24" s="424"/>
      <c r="AJ24" s="457" t="str">
        <f t="shared" si="1"/>
        <v>支店名/</v>
      </c>
    </row>
    <row r="25" spans="2:38" ht="30" customHeight="1">
      <c r="B25" s="579"/>
      <c r="C25" s="473" t="str">
        <f xml:space="preserve">
IF(テーブル!B2="事前協議","－",
IF(テーブル!B2="交付申請","預金口座種別",
IF(テーブル!B2="交付申請（２次以降）","預金口座種別",
IF(テーブル!B2="変更申請","－",
IF(テーブル!B2="実績報告","－"
)))))</f>
        <v>預金口座種別</v>
      </c>
      <c r="D25" s="471"/>
      <c r="E25" s="471"/>
      <c r="F25" s="471"/>
      <c r="G25" s="472"/>
      <c r="H25" s="461"/>
      <c r="I25" s="525" t="s">
        <v>592</v>
      </c>
      <c r="J25" s="525"/>
      <c r="K25" s="525"/>
      <c r="L25" s="525"/>
      <c r="M25" s="525"/>
      <c r="N25" s="526"/>
      <c r="O25" s="251" t="str">
        <f xml:space="preserve">
IF(テーブル!B2="事前協議","○",
IF(AND(OR(テーブル!B2="交付申請",テーブル!B2="交付申請（２次以降）"),COUNTA(H25)=1),"○",
IF(AND(OR(テーブル!B2="交付申請",テーブル!B2="交付申請（２次以降）"),COUNTA(H25)&lt;&gt;1),"×",
IF(テーブル!B2="変更申請","○",
IF(テーブル!B2="実績報告","○")))))</f>
        <v>×</v>
      </c>
      <c r="P25" s="477" t="str">
        <f xml:space="preserve">
IF(AND(OR(テーブル!B2="交付申請",テーブル!B2="交付申請（２次以降）"),COUNTA(H25)=1),"適切に入力がされました。",
IF(AND(OR(テーブル!B2="交付申請",テーブル!B2="交付申請（２次以降）"),COUNTA(H25)&lt;&gt;1),"【要修正】預金口座種別を選択してください。",
IF(テーブル!B2="事前協議","－",
IF(テーブル!B2="変更申請","－",
IF(テーブル!B2="実績報告","－")))))</f>
        <v>【要修正】預金口座種別を選択してください。</v>
      </c>
      <c r="Q25" s="478"/>
      <c r="R25" s="478"/>
      <c r="S25" s="478"/>
      <c r="T25" s="478"/>
      <c r="U25" s="478"/>
      <c r="V25" s="478"/>
      <c r="W25" s="478"/>
      <c r="X25" s="478"/>
      <c r="Y25" s="478"/>
      <c r="Z25" s="478"/>
      <c r="AA25" s="478"/>
      <c r="AB25" s="479"/>
      <c r="AC25" s="424"/>
      <c r="AD25" s="424"/>
      <c r="AJ25" s="457" t="str">
        <f t="shared" si="1"/>
        <v>預金口座種別/</v>
      </c>
    </row>
    <row r="26" spans="2:38" ht="30" customHeight="1">
      <c r="B26" s="579"/>
      <c r="C26" s="473" t="str">
        <f xml:space="preserve">
IF(テーブル!B2="事前協議","－",
IF(テーブル!B2="交付申請","口座番号",
IF(テーブル!B2="交付申請（２次以降）","口座番号",
IF(テーブル!B2="変更申請","－",
IF(テーブル!B2="実績報告","－"
)))))</f>
        <v>口座番号</v>
      </c>
      <c r="D26" s="471"/>
      <c r="E26" s="471"/>
      <c r="F26" s="471"/>
      <c r="G26" s="472"/>
      <c r="H26" s="458"/>
      <c r="I26" s="459"/>
      <c r="J26" s="459"/>
      <c r="K26" s="459"/>
      <c r="L26" s="459"/>
      <c r="M26" s="459"/>
      <c r="N26" s="460"/>
      <c r="O26" s="251" t="str">
        <f xml:space="preserve">
IF(テーブル!B2="事前協議","○",
IF(AND(OR(テーブル!B2="交付申請",テーブル!B2="交付申請（２次以降）"),COUNTA(H26:N26)=7),"○",
IF(AND(OR(テーブル!B2="交付申請",テーブル!B2="交付申請（２次以降）"),COUNTA(H26:N26)&lt;&gt;7),"×",
IF(テーブル!B2="変更申請","○",
IF(AND(テーブル!B2="実績報告","○",COUNTA(H26:N26)=7),"○",
IF(AND(テーブル!B2="実績報告","○",COUNTA(H26:N26)&lt;&gt;7),"○",))))))</f>
        <v>×</v>
      </c>
      <c r="P26" s="477" t="str">
        <f xml:space="preserve">
IF(AND(OR(テーブル!B2="交付申請",テーブル!B2="交付申請（２次以降）"),COUNTA(H26:N26)=7),"適切に入力がされました。",
IF(AND(OR(テーブル!B2="交付申請",テーブル!B2="交付申請（２次以降）"),COUNTA(H26:N26)&lt;&gt;7),"【要修正】振込先口座番号（７桁）を入力してください。（７桁以下の番号は先頭に「0」を入力。）",
IF(テーブル!B2="事前協議","－",
IF(テーブル!B2="変更申請","－",
IF(テーブル!B2="実績報告","－")))))</f>
        <v>【要修正】振込先口座番号（７桁）を入力してください。（７桁以下の番号は先頭に「0」を入力。）</v>
      </c>
      <c r="Q26" s="478"/>
      <c r="R26" s="478"/>
      <c r="S26" s="478"/>
      <c r="T26" s="478"/>
      <c r="U26" s="478"/>
      <c r="V26" s="478"/>
      <c r="W26" s="478"/>
      <c r="X26" s="478"/>
      <c r="Y26" s="478"/>
      <c r="Z26" s="478"/>
      <c r="AA26" s="478"/>
      <c r="AB26" s="479"/>
      <c r="AC26" s="424"/>
      <c r="AD26" s="424"/>
      <c r="AJ26" s="457" t="str">
        <f t="shared" si="1"/>
        <v>口座番号/</v>
      </c>
    </row>
    <row r="27" spans="2:38" ht="30" customHeight="1">
      <c r="B27" s="580"/>
      <c r="C27" s="473" t="str">
        <f xml:space="preserve">
IF(テーブル!B2="事前協議","－",
IF(テーブル!B2="交付申請","振込先口座名義（半角ｶﾅ）",
IF(テーブル!B2="交付申請（２次以降）","振込先口座名義（半角ｶﾅ）",
IF(テーブル!B2="変更申請","－",
IF(テーブル!B2="実績報告","－"
)))))</f>
        <v>振込先口座名義（半角ｶﾅ）</v>
      </c>
      <c r="D27" s="471"/>
      <c r="E27" s="471"/>
      <c r="F27" s="471"/>
      <c r="G27" s="472"/>
      <c r="H27" s="527"/>
      <c r="I27" s="528"/>
      <c r="J27" s="528"/>
      <c r="K27" s="528"/>
      <c r="L27" s="528"/>
      <c r="M27" s="528"/>
      <c r="N27" s="529"/>
      <c r="O27" s="251" t="str">
        <f xml:space="preserve">
IF(テーブル!B2="事前協議","○",
IF(AND(OR(テーブル!B2="交付申請",テーブル!B2="交付申請（２次以降）"),COUNTA(H27)=1),"○",
IF(AND(OR(テーブル!B2="交付申請",テーブル!B2="交付申請（２次以降）"),COUNTA(H27)&lt;&gt;1),"×",
IF(テーブル!B2="変更申請","○",
IF(テーブル!B2="実績報告","○")))))</f>
        <v>×</v>
      </c>
      <c r="P27" s="530" t="str">
        <f xml:space="preserve">
IF(AND(OR(テーブル!B2="交付申請",テーブル!B2="交付申請（２次以降）"),COUNTA(H27)=1),"適切に入力がされました。",
IF(AND(OR(テーブル!B2="交付申請",テーブル!B2="交付申請（２次以降）"),COUNTA(H27)&lt;&gt;1),"【要修正】振込先口座の名義（半角ｶﾅ）を入力してください。",
IF(テーブル!B2="事前協議","－",
IF(テーブル!B2="変更申請","－",
IF(テーブル!B2="実績報告","－")))))</f>
        <v>【要修正】振込先口座の名義（半角ｶﾅ）を入力してください。</v>
      </c>
      <c r="Q27" s="531"/>
      <c r="R27" s="531"/>
      <c r="S27" s="531"/>
      <c r="T27" s="531"/>
      <c r="U27" s="531"/>
      <c r="V27" s="531"/>
      <c r="W27" s="531"/>
      <c r="X27" s="531"/>
      <c r="Y27" s="531"/>
      <c r="Z27" s="531"/>
      <c r="AA27" s="531"/>
      <c r="AB27" s="532"/>
      <c r="AC27" s="424"/>
      <c r="AD27" s="424"/>
      <c r="AJ27" s="457" t="str">
        <f>IF(O27="○","",C27&amp;"/")</f>
        <v>振込先口座名義（半角ｶﾅ）/</v>
      </c>
    </row>
    <row r="28" spans="2:38" ht="200.15" customHeight="1">
      <c r="B28" s="578"/>
      <c r="C28" s="523" t="s">
        <v>117</v>
      </c>
      <c r="D28" s="524"/>
      <c r="E28" s="524"/>
      <c r="F28" s="524"/>
      <c r="G28" s="524"/>
      <c r="H28" s="493"/>
      <c r="I28" s="494"/>
      <c r="J28" s="494"/>
      <c r="K28" s="494"/>
      <c r="L28" s="494"/>
      <c r="M28" s="494"/>
      <c r="N28" s="495"/>
      <c r="O28" s="428" t="str">
        <f>IF(H28=AL18,"○",IF(H28="","×",IF(H28=AL19,"×")))</f>
        <v>×</v>
      </c>
      <c r="P28" s="508" t="str">
        <f xml:space="preserve">
IF(H28=AL18,"適切に入力がされました。",
IF(H28="","【下記いずれにも該当する場合、「申立てする」を選択してください。】"&amp;CHAR(10)&amp;"・補助を受ける経費について他の補助金等の交付を受けていないこと。"&amp;CHAR(10)&amp;"・本補助金により整備の物品は新型コロナウイルス感染症対策の目的以外に使用しないこと。"&amp;CHAR(10)&amp;"・本補助金の収入、支出等に係る証拠書類を５年間適切に整備保管すること。"&amp;CHAR(10)&amp;"・暴力団員又は暴力団関係者と実質を含めいかなる関係も有していないこと。",
IF(H28=AL19,"【申請する場合は要修正】
申立事項に該当しない申請者に対して交付を行うことはできません。")))</f>
        <v>【下記いずれにも該当する場合、「申立てする」を選択してください。】
・補助を受ける経費について他の補助金等の交付を受けていないこと。
・本補助金により整備の物品は新型コロナウイルス感染症対策の目的以外に使用しないこと。
・本補助金の収入、支出等に係る証拠書類を５年間適切に整備保管すること。
・暴力団員又は暴力団関係者と実質を含めいかなる関係も有していないこと。</v>
      </c>
      <c r="Q28" s="524"/>
      <c r="R28" s="524"/>
      <c r="S28" s="524"/>
      <c r="T28" s="524"/>
      <c r="U28" s="524"/>
      <c r="V28" s="524"/>
      <c r="W28" s="524"/>
      <c r="X28" s="524"/>
      <c r="Y28" s="524"/>
      <c r="Z28" s="524"/>
      <c r="AA28" s="524"/>
      <c r="AB28" s="524"/>
      <c r="AC28" s="424"/>
      <c r="AD28" s="424"/>
      <c r="AJ28" s="429" t="str">
        <f>IF(O28="○","","申立事項/")</f>
        <v>申立事項/</v>
      </c>
    </row>
    <row r="29" spans="2:38" ht="30" customHeight="1">
      <c r="B29" s="579"/>
      <c r="C29" s="523" t="s">
        <v>118</v>
      </c>
      <c r="D29" s="524"/>
      <c r="E29" s="524"/>
      <c r="F29" s="524"/>
      <c r="G29" s="524"/>
      <c r="H29" s="533" t="s">
        <v>119</v>
      </c>
      <c r="I29" s="533"/>
      <c r="J29" s="533"/>
      <c r="K29" s="533"/>
      <c r="L29" s="533"/>
      <c r="M29" s="533"/>
      <c r="N29" s="533"/>
      <c r="O29" s="534" t="s">
        <v>105</v>
      </c>
      <c r="P29" s="537" t="s">
        <v>1151</v>
      </c>
      <c r="Q29" s="538"/>
      <c r="R29" s="538"/>
      <c r="S29" s="538"/>
      <c r="T29" s="538"/>
      <c r="U29" s="538"/>
      <c r="V29" s="538"/>
      <c r="W29" s="538"/>
      <c r="X29" s="538"/>
      <c r="Y29" s="538"/>
      <c r="Z29" s="538"/>
      <c r="AA29" s="538"/>
      <c r="AB29" s="539"/>
      <c r="AC29" s="424"/>
      <c r="AD29" s="424"/>
      <c r="AE29" s="427" t="str">
        <f>IF(AF29=TRUE,"○","×")</f>
        <v>×</v>
      </c>
      <c r="AF29" s="451" t="b">
        <v>0</v>
      </c>
      <c r="AJ29" s="518" t="str">
        <f>IF(O29="○","","入院受入の可否/")</f>
        <v/>
      </c>
    </row>
    <row r="30" spans="2:38" ht="30" customHeight="1">
      <c r="B30" s="579"/>
      <c r="C30" s="524"/>
      <c r="D30" s="524"/>
      <c r="E30" s="524"/>
      <c r="F30" s="524"/>
      <c r="G30" s="524"/>
      <c r="H30" s="521" t="s">
        <v>120</v>
      </c>
      <c r="I30" s="521"/>
      <c r="J30" s="521"/>
      <c r="K30" s="521"/>
      <c r="L30" s="521"/>
      <c r="M30" s="521"/>
      <c r="N30" s="521"/>
      <c r="O30" s="535"/>
      <c r="P30" s="540"/>
      <c r="Q30" s="496"/>
      <c r="R30" s="496"/>
      <c r="S30" s="496"/>
      <c r="T30" s="496"/>
      <c r="U30" s="496"/>
      <c r="V30" s="496"/>
      <c r="W30" s="496"/>
      <c r="X30" s="496"/>
      <c r="Y30" s="496"/>
      <c r="Z30" s="496"/>
      <c r="AA30" s="496"/>
      <c r="AB30" s="541"/>
      <c r="AC30" s="424"/>
      <c r="AD30" s="424"/>
      <c r="AE30" s="427" t="str">
        <f>IF(AF30=TRUE,"○","×")</f>
        <v>×</v>
      </c>
      <c r="AF30" s="451" t="b">
        <v>0</v>
      </c>
      <c r="AJ30" s="519"/>
    </row>
    <row r="31" spans="2:38" ht="30" customHeight="1">
      <c r="B31" s="580"/>
      <c r="C31" s="524"/>
      <c r="D31" s="524"/>
      <c r="E31" s="524"/>
      <c r="F31" s="524"/>
      <c r="G31" s="524"/>
      <c r="H31" s="522" t="s">
        <v>121</v>
      </c>
      <c r="I31" s="522"/>
      <c r="J31" s="522"/>
      <c r="K31" s="522"/>
      <c r="L31" s="522"/>
      <c r="M31" s="522"/>
      <c r="N31" s="522"/>
      <c r="O31" s="536"/>
      <c r="P31" s="542"/>
      <c r="Q31" s="543"/>
      <c r="R31" s="543"/>
      <c r="S31" s="543"/>
      <c r="T31" s="543"/>
      <c r="U31" s="543"/>
      <c r="V31" s="543"/>
      <c r="W31" s="543"/>
      <c r="X31" s="543"/>
      <c r="Y31" s="543"/>
      <c r="Z31" s="543"/>
      <c r="AA31" s="543"/>
      <c r="AB31" s="544"/>
      <c r="AC31" s="424"/>
      <c r="AD31" s="424"/>
      <c r="AE31" s="427" t="str">
        <f>IF(AF31=TRUE,"○","×")</f>
        <v>×</v>
      </c>
      <c r="AF31" s="451" t="b">
        <v>0</v>
      </c>
      <c r="AJ31" s="520"/>
    </row>
    <row r="32" spans="2:38" ht="15" customHeight="1">
      <c r="B32" s="424"/>
      <c r="C32" s="440"/>
      <c r="D32" s="425"/>
      <c r="E32" s="425"/>
      <c r="F32" s="425"/>
      <c r="G32" s="425"/>
      <c r="H32" s="425"/>
      <c r="I32" s="441"/>
      <c r="J32" s="441"/>
      <c r="K32" s="441"/>
      <c r="L32" s="441"/>
      <c r="M32" s="441"/>
      <c r="N32" s="441"/>
      <c r="O32" s="425"/>
      <c r="P32" s="442"/>
      <c r="Q32" s="443"/>
      <c r="R32" s="443"/>
      <c r="S32" s="443"/>
      <c r="T32" s="443"/>
      <c r="U32" s="443"/>
      <c r="V32" s="443"/>
      <c r="W32" s="443"/>
      <c r="X32" s="424"/>
      <c r="Y32" s="424"/>
      <c r="Z32" s="424"/>
      <c r="AA32" s="424"/>
      <c r="AB32" s="424"/>
      <c r="AC32" s="424"/>
      <c r="AD32" s="424"/>
      <c r="AJ32" s="444"/>
    </row>
    <row r="33" spans="1:44" ht="40" customHeight="1">
      <c r="C33" s="439" t="s">
        <v>122</v>
      </c>
      <c r="D33" s="581" t="s">
        <v>123</v>
      </c>
      <c r="E33" s="582"/>
      <c r="F33" s="431" t="str">
        <f>IF(COUNTIF(O3:O31,"×")&gt;=1,"×","○")</f>
        <v>×</v>
      </c>
      <c r="G33" s="508" t="str">
        <f>IF(F33="○","適切に入力がされました。","【要修正】次の項目が適切に入力されているかご確認ください→"&amp;AJ3&amp;AJ6&amp;AJ7&amp;AJ8&amp;AJ9&amp;AJ10&amp;AJ11&amp;AJ12&amp;AJ13&amp;AJ14&amp;AJ15&amp;AJ16&amp;AJ17&amp;AJ18&amp;AJ19&amp;AJ20&amp;AJ21&amp;AJ28)</f>
        <v>【要修正】次の項目が適切に入力されているかご確認ください→法人・個人事業主の別/事業者名（法人名または屋号）/代表者役職/代表者氏名/所在地/施設の名称施設所在地/施設所在地（既設病床数）/確保病床数（今年度整備病床数）/提出日/担当部署/担当者名/電話番号（担当直通）/Mailｱﾄﾞﾚｽ（担当直通）/既交付決定通知番号/金融機関番号/申立事項/</v>
      </c>
      <c r="H33" s="508"/>
      <c r="I33" s="508"/>
      <c r="J33" s="508"/>
      <c r="K33" s="508"/>
      <c r="L33" s="508"/>
      <c r="M33" s="508"/>
      <c r="N33" s="508"/>
      <c r="O33" s="508"/>
      <c r="P33" s="508"/>
      <c r="Q33" s="524"/>
      <c r="R33" s="524"/>
      <c r="S33" s="524"/>
      <c r="T33" s="524"/>
      <c r="U33" s="524"/>
      <c r="V33" s="524"/>
      <c r="W33" s="524"/>
      <c r="X33" s="524"/>
      <c r="Y33" s="524"/>
      <c r="Z33" s="524"/>
      <c r="AA33" s="524"/>
      <c r="AB33" s="524"/>
      <c r="AE33" s="423" t="str">
        <f>IF(COUNTA(H6,H7,H8,H9,H14,H16,H17,H18,H19)=9,"○","×")</f>
        <v>×</v>
      </c>
      <c r="AJ33" s="404" t="str">
        <f>AJ3&amp;AJ6&amp;AJ7&amp;AJ8&amp;AJ9&amp;AJ10&amp;AJ11&amp;AJ14&amp;AJ15&amp;AJ16&amp;AJ17&amp;AJ18&amp;AJ19&amp;AJ20&amp;AJ21&amp;AJ28</f>
        <v>法人・個人事業主の別/事業者名（法人名または屋号）/代表者役職/代表者氏名/所在地/施設の名称施設所在地/提出日/担当部署/担当者名/電話番号（担当直通）/Mailｱﾄﾞﾚｽ（担当直通）/既交付決定通知番号/金融機関番号/申立事項/</v>
      </c>
    </row>
    <row r="34" spans="1:44" ht="15" customHeight="1">
      <c r="C34" s="439"/>
      <c r="D34" s="440"/>
      <c r="E34" s="425"/>
      <c r="F34" s="425"/>
      <c r="G34" s="442"/>
      <c r="H34" s="442"/>
      <c r="I34" s="442"/>
      <c r="J34" s="442"/>
      <c r="K34" s="442"/>
      <c r="L34" s="442"/>
      <c r="M34" s="442"/>
      <c r="N34" s="442"/>
      <c r="O34" s="442"/>
      <c r="P34" s="442"/>
      <c r="Q34" s="424"/>
      <c r="R34" s="424"/>
      <c r="S34" s="424"/>
      <c r="T34" s="424"/>
      <c r="U34" s="424"/>
      <c r="V34" s="424"/>
      <c r="W34" s="424"/>
      <c r="X34" s="424"/>
      <c r="Y34" s="424"/>
      <c r="Z34" s="424"/>
      <c r="AA34" s="424"/>
      <c r="AB34" s="424"/>
      <c r="AE34" s="423"/>
    </row>
    <row r="35" spans="1:44" ht="90" customHeight="1">
      <c r="C35" s="583" t="s">
        <v>124</v>
      </c>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4"/>
    </row>
    <row r="36" spans="1:44" ht="20.149999999999999" customHeight="1">
      <c r="C36" s="445"/>
      <c r="D36" s="446"/>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row>
    <row r="37" spans="1:44" ht="40" customHeight="1">
      <c r="C37" s="445"/>
      <c r="D37" s="480" t="s">
        <v>125</v>
      </c>
      <c r="E37" s="503"/>
      <c r="F37" s="431" t="str">
        <f>IF(COUNTIF(O40:O61,"×")&gt;=1,"×","○")</f>
        <v>×</v>
      </c>
      <c r="G37" s="505" t="str">
        <f>IF(F37="○","適切に入力がされました。","【要修正】次の様式が適切に入力されているかご確認ください→"&amp;AJ40&amp;AJ42&amp;AJ43&amp;AJ44&amp;AJ45&amp;AJ46&amp;AJ47&amp;AJ48&amp;AJ49&amp;AJ53&amp;AJ55&amp;AJ56&amp;AJ57&amp;AJ58&amp;AJ59&amp;AJ60&amp;AJ61)</f>
        <v>【要修正】次の様式が適切に入力されているかご確認ください→はじめに入力してください/振込先情報/様式１（表紙）/様式1-2（経費支出予定額内訳）/</v>
      </c>
      <c r="H37" s="585"/>
      <c r="I37" s="585"/>
      <c r="J37" s="585"/>
      <c r="K37" s="585"/>
      <c r="L37" s="585"/>
      <c r="M37" s="585"/>
      <c r="N37" s="585"/>
      <c r="O37" s="585"/>
      <c r="P37" s="585"/>
      <c r="Q37" s="585"/>
      <c r="R37" s="585"/>
      <c r="S37" s="585"/>
      <c r="T37" s="585"/>
      <c r="U37" s="585"/>
      <c r="V37" s="585"/>
      <c r="W37" s="585"/>
      <c r="X37" s="585"/>
      <c r="Y37" s="585"/>
      <c r="Z37" s="585"/>
      <c r="AA37" s="585"/>
      <c r="AB37" s="586"/>
    </row>
    <row r="38" spans="1:44" ht="20.149999999999999" customHeight="1">
      <c r="C38" s="445"/>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row>
    <row r="39" spans="1:44" ht="40" customHeight="1">
      <c r="B39" s="439"/>
      <c r="C39" s="587" t="s">
        <v>126</v>
      </c>
      <c r="D39" s="588"/>
      <c r="E39" s="588"/>
      <c r="F39" s="588"/>
      <c r="G39" s="588"/>
      <c r="H39" s="588"/>
      <c r="I39" s="480" t="s">
        <v>127</v>
      </c>
      <c r="J39" s="481"/>
      <c r="K39" s="481"/>
      <c r="L39" s="481"/>
      <c r="M39" s="481"/>
      <c r="N39" s="489"/>
      <c r="O39" s="447" t="s">
        <v>128</v>
      </c>
      <c r="P39" s="480" t="s">
        <v>82</v>
      </c>
      <c r="Q39" s="481"/>
      <c r="R39" s="481"/>
      <c r="S39" s="481"/>
      <c r="T39" s="481"/>
      <c r="U39" s="481"/>
      <c r="V39" s="481"/>
      <c r="W39" s="481"/>
      <c r="X39" s="481"/>
      <c r="Y39" s="481"/>
      <c r="Z39" s="481"/>
      <c r="AA39" s="481"/>
      <c r="AB39" s="482"/>
      <c r="AC39" s="439"/>
      <c r="AD39" s="439"/>
    </row>
    <row r="40" spans="1:44" ht="60" customHeight="1">
      <c r="A40" s="423" t="s">
        <v>623</v>
      </c>
      <c r="B40" s="439"/>
      <c r="C40" s="508" t="s">
        <v>129</v>
      </c>
      <c r="D40" s="509"/>
      <c r="E40" s="509"/>
      <c r="F40" s="509"/>
      <c r="G40" s="509"/>
      <c r="H40" s="509"/>
      <c r="I40" s="512" t="s">
        <v>130</v>
      </c>
      <c r="J40" s="513"/>
      <c r="K40" s="513"/>
      <c r="L40" s="513"/>
      <c r="M40" s="513"/>
      <c r="N40" s="514"/>
      <c r="O40" s="428" t="str">
        <f>F33</f>
        <v>×</v>
      </c>
      <c r="P40" s="505" t="str">
        <f>G33</f>
        <v>【要修正】次の項目が適切に入力されているかご確認ください→法人・個人事業主の別/事業者名（法人名または屋号）/代表者役職/代表者氏名/所在地/施設の名称施設所在地/施設所在地（既設病床数）/確保病床数（今年度整備病床数）/提出日/担当部署/担当者名/電話番号（担当直通）/Mailｱﾄﾞﾚｽ（担当直通）/既交付決定通知番号/金融機関番号/申立事項/</v>
      </c>
      <c r="Q40" s="488"/>
      <c r="R40" s="488"/>
      <c r="S40" s="488"/>
      <c r="T40" s="488"/>
      <c r="U40" s="488"/>
      <c r="V40" s="488"/>
      <c r="W40" s="488"/>
      <c r="X40" s="488"/>
      <c r="Y40" s="488"/>
      <c r="Z40" s="488"/>
      <c r="AA40" s="488"/>
      <c r="AB40" s="489"/>
      <c r="AC40" s="439"/>
      <c r="AD40" s="439"/>
      <c r="AJ40" s="448" t="str">
        <f>IF(O40="×",C40&amp;"/","")</f>
        <v>はじめに入力してください/</v>
      </c>
    </row>
    <row r="41" spans="1:44" ht="60" hidden="1" customHeight="1">
      <c r="A41" s="423" t="s">
        <v>624</v>
      </c>
      <c r="B41" s="439"/>
      <c r="C41" s="486" t="str">
        <f xml:space="preserve">
IF(テーブル!B2="事前協議","確保病床使用状況調査票",
IF(テーブル!B2="交付申請","－",
IF(テーブル!B2="交付申請（２次以降）","－",
IF(テーブル!B2="変更申請","－",
IF(テーブル!B2="実績報告","－")))))</f>
        <v>－</v>
      </c>
      <c r="D41" s="510"/>
      <c r="E41" s="510"/>
      <c r="F41" s="510"/>
      <c r="G41" s="510"/>
      <c r="H41" s="511"/>
      <c r="I41" s="512" t="str">
        <f xml:space="preserve">
IF(C41&lt;&gt;"－","【必須】","－")</f>
        <v>－</v>
      </c>
      <c r="J41" s="513"/>
      <c r="K41" s="513"/>
      <c r="L41" s="513"/>
      <c r="M41" s="513"/>
      <c r="N41" s="514"/>
      <c r="O41" s="428" t="str">
        <f>IF(C41="－","○",病床状況!U1)</f>
        <v>○</v>
      </c>
      <c r="P41" s="505" t="str">
        <f xml:space="preserve">
IF(O41="×","【要修正】未入力または入力不十分な箇所がありますので「病床状況」シートを再度御確認ください。",
IF(O41="○","適切に入力がされました。"))</f>
        <v>適切に入力がされました。</v>
      </c>
      <c r="Q41" s="510"/>
      <c r="R41" s="510"/>
      <c r="S41" s="510"/>
      <c r="T41" s="510"/>
      <c r="U41" s="510"/>
      <c r="V41" s="510"/>
      <c r="W41" s="510"/>
      <c r="X41" s="510"/>
      <c r="Y41" s="510"/>
      <c r="Z41" s="510"/>
      <c r="AA41" s="510"/>
      <c r="AB41" s="511"/>
      <c r="AC41" s="439"/>
      <c r="AD41" s="439"/>
      <c r="AJ41" s="448"/>
    </row>
    <row r="42" spans="1:44" ht="40" customHeight="1">
      <c r="A42" s="423" t="s">
        <v>625</v>
      </c>
      <c r="B42" s="439"/>
      <c r="C42" s="508" t="str">
        <f xml:space="preserve">
IF(テーブル!B2="事前協議","－",
IF(テーブル!B2="交付申請","振込先情報",
IF(テーブル!B2="交付申請（２次以降）","振込先情報",
IF(テーブル!B2="変更申請","－",
IF(テーブル!B2="実績報告","請求書")))))</f>
        <v>振込先情報</v>
      </c>
      <c r="D42" s="509"/>
      <c r="E42" s="509"/>
      <c r="F42" s="509"/>
      <c r="G42" s="509"/>
      <c r="H42" s="509"/>
      <c r="I42" s="512" t="str">
        <f xml:space="preserve">
IF(C42&lt;&gt;"－","【必須】","－")</f>
        <v>【必須】</v>
      </c>
      <c r="J42" s="513"/>
      <c r="K42" s="513"/>
      <c r="L42" s="513"/>
      <c r="M42" s="513"/>
      <c r="N42" s="514"/>
      <c r="O42" s="449" t="str">
        <f xml:space="preserve">
IF(C42="－","○",
IF(AND(C42="振込先情報",COUNTIF(O21:O27,"○")=7),"○",
IF(AND(C42="振込先情報",COUNTIF(O21:O27,"○")&lt;&gt;7),"×",
IF(AND(C42="請求書",O26="○"),"○",
IF(AND(C42="請求書",O26="×"),"×")))))</f>
        <v>×</v>
      </c>
      <c r="P42" s="505" t="str">
        <f xml:space="preserve">
IF(O42="－","－",
IF(O42="○","適切に入力がされました。",
IF(O42="×","【要修正】次の項目が適切に入力されているかご確認ください→"&amp;AJ42)))</f>
        <v>【要修正】次の項目が適切に入力されているかご確認ください→振込先情報/</v>
      </c>
      <c r="Q42" s="488"/>
      <c r="R42" s="488"/>
      <c r="S42" s="488"/>
      <c r="T42" s="488"/>
      <c r="U42" s="488"/>
      <c r="V42" s="488"/>
      <c r="W42" s="488"/>
      <c r="X42" s="488"/>
      <c r="Y42" s="488"/>
      <c r="Z42" s="488"/>
      <c r="AA42" s="488"/>
      <c r="AB42" s="489"/>
      <c r="AC42" s="439"/>
      <c r="AD42" s="439"/>
      <c r="AJ42" s="448" t="str">
        <f>IF(O42="×",C42&amp;"/","")</f>
        <v>振込先情報/</v>
      </c>
    </row>
    <row r="43" spans="1:44" ht="40" customHeight="1">
      <c r="A43" s="423" t="s">
        <v>626</v>
      </c>
      <c r="B43" s="439"/>
      <c r="C43" s="508" t="str">
        <f xml:space="preserve">
IF(テーブル!B2="事前協議","－",
IF(テーブル!B2="交付申請","様式１（表紙）",
IF(テーブル!B2="交付申請（２次以降）","様式１（表紙）",
IF(テーブル!B2="変更申請","第３号様式（表紙）",
IF(テーブル!B2="実績報告","第４号様式（表紙）")))))</f>
        <v>様式１（表紙）</v>
      </c>
      <c r="D43" s="509"/>
      <c r="E43" s="509"/>
      <c r="F43" s="509"/>
      <c r="G43" s="509"/>
      <c r="H43" s="509"/>
      <c r="I43" s="512" t="str">
        <f xml:space="preserve">
IF(C43&lt;&gt;"－","【必須】","－")</f>
        <v>【必須】</v>
      </c>
      <c r="J43" s="513"/>
      <c r="K43" s="513"/>
      <c r="L43" s="513"/>
      <c r="M43" s="513"/>
      <c r="N43" s="514"/>
      <c r="O43" s="428" t="str">
        <f>IF(C43&lt;&gt;"－",O40,"○")</f>
        <v>×</v>
      </c>
      <c r="P43" s="505" t="str">
        <f>IF(O43="×","【要修正】様式１は入力項目がありませんが、「はじめに入力してください」が適切に入力されていないため正しく表示できていません。","適切に入力がされました。")</f>
        <v>【要修正】様式１は入力項目がありませんが、「はじめに入力してください」が適切に入力されていないため正しく表示できていません。</v>
      </c>
      <c r="Q43" s="488"/>
      <c r="R43" s="488"/>
      <c r="S43" s="488"/>
      <c r="T43" s="488"/>
      <c r="U43" s="488"/>
      <c r="V43" s="488"/>
      <c r="W43" s="488"/>
      <c r="X43" s="488"/>
      <c r="Y43" s="488"/>
      <c r="Z43" s="488"/>
      <c r="AA43" s="488"/>
      <c r="AB43" s="489"/>
      <c r="AC43" s="439"/>
      <c r="AD43" s="439"/>
      <c r="AJ43" s="448" t="str">
        <f>IF(O43="×",C43&amp;"/","")</f>
        <v>様式１（表紙）/</v>
      </c>
    </row>
    <row r="44" spans="1:44" ht="40" customHeight="1">
      <c r="A44" s="423" t="s">
        <v>627</v>
      </c>
      <c r="B44" s="439"/>
      <c r="C44" s="508" t="str">
        <f xml:space="preserve">
IF(テーブル!B2="事前協議","－",
IF(テーブル!B2="交付申請","様式1-1（経費所要額調書）",
IF(テーブル!B2="交付申請（２次以降）","様式1-1（経費所要額調書）",
IF(テーブル!B2="変更申請","様式1-1号様式（経費所要額調書）",
IF(テーブル!B2="実績報告","様式3-1（経費精算書）")))))</f>
        <v>様式1-1（経費所要額調書）</v>
      </c>
      <c r="D44" s="509"/>
      <c r="E44" s="509"/>
      <c r="F44" s="509"/>
      <c r="G44" s="509"/>
      <c r="H44" s="509"/>
      <c r="I44" s="512" t="str">
        <f xml:space="preserve">
IF(C44&lt;&gt;"－","【必須】","－")</f>
        <v>【必須】</v>
      </c>
      <c r="J44" s="513"/>
      <c r="K44" s="513"/>
      <c r="L44" s="513"/>
      <c r="M44" s="513"/>
      <c r="N44" s="514"/>
      <c r="O44" s="428" t="s">
        <v>131</v>
      </c>
      <c r="P44" s="505" t="s">
        <v>132</v>
      </c>
      <c r="Q44" s="488"/>
      <c r="R44" s="488"/>
      <c r="S44" s="488"/>
      <c r="T44" s="488"/>
      <c r="U44" s="488"/>
      <c r="V44" s="488"/>
      <c r="W44" s="488"/>
      <c r="X44" s="488"/>
      <c r="Y44" s="488"/>
      <c r="Z44" s="488"/>
      <c r="AA44" s="488"/>
      <c r="AB44" s="489"/>
      <c r="AC44" s="439"/>
      <c r="AD44" s="439"/>
      <c r="AJ44" s="448" t="str">
        <f>IF(O44="×",C44&amp;"/","")</f>
        <v/>
      </c>
    </row>
    <row r="45" spans="1:44" ht="80.150000000000006" customHeight="1">
      <c r="A45" s="423" t="s">
        <v>628</v>
      </c>
      <c r="B45" s="439"/>
      <c r="C45" s="508" t="str">
        <f xml:space="preserve">
IF(テーブル!B2="事前協議","－",
IF(テーブル!B2="交付申請","様式1-2（経費支出予定額内訳）",
IF(テーブル!B2="交付申請（２次以降）","様式1-2（経費支出予定額内訳）",
IF(テーブル!B2="変更申請","様式1-2（経費支出予定額内訳）",
IF(テーブル!B2="実績報告","様式3-2（経費実支出額内訳書）")))))</f>
        <v>様式1-2（経費支出予定額内訳）</v>
      </c>
      <c r="D45" s="509"/>
      <c r="E45" s="509"/>
      <c r="F45" s="509"/>
      <c r="G45" s="509"/>
      <c r="H45" s="509"/>
      <c r="I45" s="512" t="str">
        <f t="shared" ref="I45" si="2" xml:space="preserve">
IF(C45&lt;&gt;"－","【必須】","－")</f>
        <v>【必須】</v>
      </c>
      <c r="J45" s="513"/>
      <c r="K45" s="513"/>
      <c r="L45" s="513"/>
      <c r="M45" s="513"/>
      <c r="N45" s="514"/>
      <c r="O45" s="449" t="str">
        <f>IF(C43&lt;&gt;"－",額内訳書!AS2,"○")</f>
        <v>×</v>
      </c>
      <c r="P45" s="505" t="str">
        <f>IF(O45="×","【要修正】全ての項目が未入力、又は次の項目が適切に入力されているかご確認ください"&amp;CHAR(10)&amp;額内訳書!AV2,"適切に入力がされました。")</f>
        <v xml:space="preserve">【要修正】全ての項目が未入力、又は次の項目が適切に入力されているかご確認ください
</v>
      </c>
      <c r="Q45" s="488"/>
      <c r="R45" s="488"/>
      <c r="S45" s="488"/>
      <c r="T45" s="488"/>
      <c r="U45" s="488"/>
      <c r="V45" s="488"/>
      <c r="W45" s="488"/>
      <c r="X45" s="488"/>
      <c r="Y45" s="488"/>
      <c r="Z45" s="488"/>
      <c r="AA45" s="488"/>
      <c r="AB45" s="489"/>
      <c r="AC45" s="439"/>
      <c r="AD45" s="439"/>
      <c r="AJ45" s="448" t="str">
        <f>IF(O45="×",C45&amp;"/","")</f>
        <v>様式1-2（経費支出予定額内訳）/</v>
      </c>
    </row>
    <row r="46" spans="1:44" ht="40" customHeight="1">
      <c r="A46" s="423" t="s">
        <v>629</v>
      </c>
      <c r="B46" s="439"/>
      <c r="C46" s="508" t="str">
        <f xml:space="preserve">
IF(テーブル!B2="事前協議","－",
IF(テーブル!B2="交付申請","様式1-3（歳入歳出予算書抄本）",
IF(テーブル!B2="交付申請（２次以降）","様式1-3（歳入歳出予算書抄本）",
IF(テーブル!B2="変更申請","様式1-3（歳入歳出予算書抄本）",
IF(テーブル!B2="実績報告","様式3-3"&amp;CHAR(10)&amp;"（歳入歳出決算書（見込書）抄本）")))))</f>
        <v>様式1-3（歳入歳出予算書抄本）</v>
      </c>
      <c r="D46" s="509"/>
      <c r="E46" s="509"/>
      <c r="F46" s="509"/>
      <c r="G46" s="509"/>
      <c r="H46" s="509"/>
      <c r="I46" s="480" t="str">
        <f xml:space="preserve">
IF(C46&lt;&gt;"－","公立医療機関の場合のみ","－")</f>
        <v>公立医療機関の場合のみ</v>
      </c>
      <c r="J46" s="503"/>
      <c r="K46" s="503"/>
      <c r="L46" s="503"/>
      <c r="M46" s="503"/>
      <c r="N46" s="482"/>
      <c r="O46" s="449" t="str">
        <f>IF(C46&lt;&gt;"－",歳入歳出抄本!Y11,"○")</f>
        <v>○</v>
      </c>
      <c r="P46" s="515" t="str">
        <f>歳入歳出抄本!Z11</f>
        <v>公立機関ではない場合、作成不要です。（入力されていても特段問題はありません。）</v>
      </c>
      <c r="Q46" s="516"/>
      <c r="R46" s="516"/>
      <c r="S46" s="516"/>
      <c r="T46" s="516"/>
      <c r="U46" s="516"/>
      <c r="V46" s="516"/>
      <c r="W46" s="516"/>
      <c r="X46" s="516"/>
      <c r="Y46" s="516"/>
      <c r="Z46" s="516"/>
      <c r="AA46" s="516"/>
      <c r="AB46" s="517"/>
      <c r="AC46" s="439"/>
      <c r="AD46" s="439"/>
      <c r="AJ46" s="448" t="str">
        <f>IF(O46="×",C46&amp;"/","")</f>
        <v/>
      </c>
      <c r="AO46" s="405" t="s">
        <v>635</v>
      </c>
      <c r="AP46" s="405" t="s">
        <v>637</v>
      </c>
      <c r="AQ46" s="405" t="s">
        <v>639</v>
      </c>
      <c r="AR46" s="405" t="s">
        <v>640</v>
      </c>
    </row>
    <row r="47" spans="1:44" ht="30" hidden="1" customHeight="1">
      <c r="A47" s="423" t="s">
        <v>630</v>
      </c>
      <c r="C47" s="508" t="s">
        <v>133</v>
      </c>
      <c r="D47" s="509"/>
      <c r="E47" s="509"/>
      <c r="F47" s="509"/>
      <c r="G47" s="509"/>
      <c r="H47" s="509"/>
      <c r="I47" s="480" t="s">
        <v>134</v>
      </c>
      <c r="J47" s="503"/>
      <c r="K47" s="503"/>
      <c r="L47" s="503"/>
      <c r="M47" s="503"/>
      <c r="N47" s="482"/>
      <c r="O47" s="428" t="str">
        <f>初度設備!Z3</f>
        <v>○</v>
      </c>
      <c r="P47" s="505" t="str">
        <f t="shared" ref="P47:P61" si="3" xml:space="preserve">
IF(O47="×","【要修正】「"&amp;C47&amp;"明細」シートに入力不十分な箇所があります。",
IF(O47="○","申請しない場合は入力不要です。",
IF(O47="◎","適切に入力がされました。",)))</f>
        <v>申請しない場合は入力不要です。</v>
      </c>
      <c r="Q47" s="488"/>
      <c r="R47" s="488"/>
      <c r="S47" s="488"/>
      <c r="T47" s="488"/>
      <c r="U47" s="488"/>
      <c r="V47" s="488"/>
      <c r="W47" s="488"/>
      <c r="X47" s="488"/>
      <c r="Y47" s="488"/>
      <c r="Z47" s="488"/>
      <c r="AA47" s="488"/>
      <c r="AB47" s="489"/>
      <c r="AJ47" s="448" t="str">
        <f t="shared" ref="AJ47:AJ61" si="4">IF(O47="×",C47&amp;"明細/","")</f>
        <v/>
      </c>
      <c r="AN47" s="405">
        <v>47</v>
      </c>
      <c r="AP47" s="405" t="s">
        <v>135</v>
      </c>
      <c r="AQ47" s="405" t="s">
        <v>136</v>
      </c>
      <c r="AR47" s="405" t="s">
        <v>137</v>
      </c>
    </row>
    <row r="48" spans="1:44" ht="30" hidden="1" customHeight="1">
      <c r="A48" s="423" t="s">
        <v>630</v>
      </c>
      <c r="C48" s="508" t="s">
        <v>138</v>
      </c>
      <c r="D48" s="509"/>
      <c r="E48" s="509"/>
      <c r="F48" s="509"/>
      <c r="G48" s="509"/>
      <c r="H48" s="509"/>
      <c r="I48" s="480" t="s">
        <v>134</v>
      </c>
      <c r="J48" s="503"/>
      <c r="K48" s="503"/>
      <c r="L48" s="503"/>
      <c r="M48" s="503"/>
      <c r="N48" s="482"/>
      <c r="O48" s="428" t="str">
        <f>人工呼吸器!Z3</f>
        <v>○</v>
      </c>
      <c r="P48" s="505" t="str">
        <f t="shared" si="3"/>
        <v>申請しない場合は入力不要です。</v>
      </c>
      <c r="Q48" s="488"/>
      <c r="R48" s="488"/>
      <c r="S48" s="488"/>
      <c r="T48" s="488"/>
      <c r="U48" s="488"/>
      <c r="V48" s="488"/>
      <c r="W48" s="488"/>
      <c r="X48" s="488"/>
      <c r="Y48" s="488"/>
      <c r="Z48" s="488"/>
      <c r="AA48" s="488"/>
      <c r="AB48" s="489"/>
      <c r="AJ48" s="448" t="str">
        <f t="shared" si="4"/>
        <v/>
      </c>
      <c r="AN48" s="405">
        <v>48</v>
      </c>
      <c r="AO48" s="405" t="s">
        <v>135</v>
      </c>
      <c r="AP48" s="405" t="s">
        <v>139</v>
      </c>
      <c r="AQ48" s="405" t="s">
        <v>140</v>
      </c>
      <c r="AR48" s="405" t="s">
        <v>141</v>
      </c>
    </row>
    <row r="49" spans="1:44" ht="30" customHeight="1">
      <c r="A49" s="423" t="s">
        <v>630</v>
      </c>
      <c r="C49" s="508" t="s">
        <v>142</v>
      </c>
      <c r="D49" s="509"/>
      <c r="E49" s="509"/>
      <c r="F49" s="509"/>
      <c r="G49" s="509"/>
      <c r="H49" s="509"/>
      <c r="I49" s="480" t="s">
        <v>134</v>
      </c>
      <c r="J49" s="503"/>
      <c r="K49" s="503"/>
      <c r="L49" s="503"/>
      <c r="M49" s="503"/>
      <c r="N49" s="482"/>
      <c r="O49" s="428" t="str">
        <f>個人防護具!AN118</f>
        <v>○</v>
      </c>
      <c r="P49" s="505" t="str">
        <f t="shared" si="3"/>
        <v>申請しない場合は入力不要です。</v>
      </c>
      <c r="Q49" s="488"/>
      <c r="R49" s="488"/>
      <c r="S49" s="488"/>
      <c r="T49" s="488"/>
      <c r="U49" s="488"/>
      <c r="V49" s="488"/>
      <c r="W49" s="488"/>
      <c r="X49" s="488"/>
      <c r="Y49" s="488"/>
      <c r="Z49" s="488"/>
      <c r="AA49" s="488"/>
      <c r="AB49" s="489"/>
      <c r="AJ49" s="448" t="str">
        <f t="shared" si="4"/>
        <v/>
      </c>
      <c r="AN49" s="405">
        <v>49</v>
      </c>
      <c r="AO49" s="405" t="s">
        <v>136</v>
      </c>
      <c r="AQ49" s="405" t="s">
        <v>143</v>
      </c>
      <c r="AR49" s="405" t="s">
        <v>144</v>
      </c>
    </row>
    <row r="50" spans="1:44" ht="30" hidden="1" customHeight="1">
      <c r="A50" s="423" t="s">
        <v>40</v>
      </c>
      <c r="C50" s="486" t="s">
        <v>815</v>
      </c>
      <c r="D50" s="510"/>
      <c r="E50" s="510"/>
      <c r="F50" s="510"/>
      <c r="G50" s="510"/>
      <c r="H50" s="511"/>
      <c r="I50" s="480" t="s">
        <v>134</v>
      </c>
      <c r="J50" s="503"/>
      <c r="K50" s="503"/>
      <c r="L50" s="503"/>
      <c r="M50" s="503"/>
      <c r="N50" s="482"/>
      <c r="O50" s="428" t="str">
        <f>簡易陰圧装置!Z3</f>
        <v>○</v>
      </c>
      <c r="P50" s="505" t="str">
        <f t="shared" ref="P50:P54" si="5" xml:space="preserve">
IF(O50="×","【要修正】「"&amp;C50&amp;"明細」シートに入力不十分な箇所があります。",
IF(O50="○","申請しない場合は入力不要です。",
IF(O50="◎","適切に入力がされました。",)))</f>
        <v>申請しない場合は入力不要です。</v>
      </c>
      <c r="Q50" s="488"/>
      <c r="R50" s="488"/>
      <c r="S50" s="488"/>
      <c r="T50" s="488"/>
      <c r="U50" s="488"/>
      <c r="V50" s="488"/>
      <c r="W50" s="488"/>
      <c r="X50" s="488"/>
      <c r="Y50" s="488"/>
      <c r="Z50" s="488"/>
      <c r="AA50" s="488"/>
      <c r="AB50" s="489"/>
      <c r="AJ50" s="448"/>
    </row>
    <row r="51" spans="1:44" ht="30" hidden="1" customHeight="1">
      <c r="A51" s="423" t="s">
        <v>40</v>
      </c>
      <c r="C51" s="486" t="s">
        <v>816</v>
      </c>
      <c r="D51" s="510"/>
      <c r="E51" s="510"/>
      <c r="F51" s="510"/>
      <c r="G51" s="510"/>
      <c r="H51" s="511"/>
      <c r="I51" s="480" t="s">
        <v>134</v>
      </c>
      <c r="J51" s="503"/>
      <c r="K51" s="503"/>
      <c r="L51" s="503"/>
      <c r="M51" s="503"/>
      <c r="N51" s="482"/>
      <c r="O51" s="428" t="str">
        <f>簡易ベッド!Z3</f>
        <v>○</v>
      </c>
      <c r="P51" s="505" t="str">
        <f t="shared" si="5"/>
        <v>申請しない場合は入力不要です。</v>
      </c>
      <c r="Q51" s="488"/>
      <c r="R51" s="488"/>
      <c r="S51" s="488"/>
      <c r="T51" s="488"/>
      <c r="U51" s="488"/>
      <c r="V51" s="488"/>
      <c r="W51" s="488"/>
      <c r="X51" s="488"/>
      <c r="Y51" s="488"/>
      <c r="Z51" s="488"/>
      <c r="AA51" s="488"/>
      <c r="AB51" s="489"/>
      <c r="AJ51" s="448"/>
    </row>
    <row r="52" spans="1:44" ht="30" hidden="1" customHeight="1">
      <c r="A52" s="423" t="s">
        <v>40</v>
      </c>
      <c r="C52" s="486" t="s">
        <v>817</v>
      </c>
      <c r="D52" s="510"/>
      <c r="E52" s="510"/>
      <c r="F52" s="510"/>
      <c r="G52" s="510"/>
      <c r="H52" s="511"/>
      <c r="I52" s="480" t="s">
        <v>134</v>
      </c>
      <c r="J52" s="503"/>
      <c r="K52" s="503"/>
      <c r="L52" s="503"/>
      <c r="M52" s="503"/>
      <c r="N52" s="482"/>
      <c r="O52" s="428" t="str">
        <f>体外式膜型人工肺!Z3</f>
        <v>○</v>
      </c>
      <c r="P52" s="505" t="str">
        <f t="shared" si="5"/>
        <v>申請しない場合は入力不要です。</v>
      </c>
      <c r="Q52" s="488"/>
      <c r="R52" s="488"/>
      <c r="S52" s="488"/>
      <c r="T52" s="488"/>
      <c r="U52" s="488"/>
      <c r="V52" s="488"/>
      <c r="W52" s="488"/>
      <c r="X52" s="488"/>
      <c r="Y52" s="488"/>
      <c r="Z52" s="488"/>
      <c r="AA52" s="488"/>
      <c r="AB52" s="489"/>
      <c r="AJ52" s="448"/>
    </row>
    <row r="53" spans="1:44" ht="30" hidden="1" customHeight="1">
      <c r="A53" s="423" t="s">
        <v>40</v>
      </c>
      <c r="C53" s="508" t="s">
        <v>145</v>
      </c>
      <c r="D53" s="509"/>
      <c r="E53" s="509"/>
      <c r="F53" s="509"/>
      <c r="G53" s="509"/>
      <c r="H53" s="509"/>
      <c r="I53" s="480" t="s">
        <v>134</v>
      </c>
      <c r="J53" s="503"/>
      <c r="K53" s="503"/>
      <c r="L53" s="503"/>
      <c r="M53" s="503"/>
      <c r="N53" s="482"/>
      <c r="O53" s="428" t="str">
        <f>簡易病室!Z3</f>
        <v>○</v>
      </c>
      <c r="P53" s="505" t="str">
        <f t="shared" si="5"/>
        <v>申請しない場合は入力不要です。</v>
      </c>
      <c r="Q53" s="488"/>
      <c r="R53" s="488"/>
      <c r="S53" s="488"/>
      <c r="T53" s="488"/>
      <c r="U53" s="488"/>
      <c r="V53" s="488"/>
      <c r="W53" s="488"/>
      <c r="X53" s="488"/>
      <c r="Y53" s="488"/>
      <c r="Z53" s="488"/>
      <c r="AA53" s="488"/>
      <c r="AB53" s="489"/>
      <c r="AJ53" s="448" t="str">
        <f t="shared" si="4"/>
        <v/>
      </c>
      <c r="AN53" s="405">
        <v>50</v>
      </c>
      <c r="AO53" s="405" t="s">
        <v>137</v>
      </c>
      <c r="AQ53" s="405" t="s">
        <v>146</v>
      </c>
      <c r="AR53" s="405" t="s">
        <v>147</v>
      </c>
    </row>
    <row r="54" spans="1:44" ht="30" hidden="1" customHeight="1">
      <c r="A54" s="423" t="s">
        <v>40</v>
      </c>
      <c r="C54" s="486" t="s">
        <v>818</v>
      </c>
      <c r="D54" s="510"/>
      <c r="E54" s="510"/>
      <c r="F54" s="510"/>
      <c r="G54" s="510"/>
      <c r="H54" s="511"/>
      <c r="I54" s="480" t="s">
        <v>134</v>
      </c>
      <c r="J54" s="503"/>
      <c r="K54" s="503"/>
      <c r="L54" s="503"/>
      <c r="M54" s="503"/>
      <c r="N54" s="482"/>
      <c r="O54" s="428" t="str">
        <f>紫外線照射装置!Z3</f>
        <v>○</v>
      </c>
      <c r="P54" s="505" t="str">
        <f t="shared" si="5"/>
        <v>申請しない場合は入力不要です。</v>
      </c>
      <c r="Q54" s="488"/>
      <c r="R54" s="488"/>
      <c r="S54" s="488"/>
      <c r="T54" s="488"/>
      <c r="U54" s="488"/>
      <c r="V54" s="488"/>
      <c r="W54" s="488"/>
      <c r="X54" s="488"/>
      <c r="Y54" s="488"/>
      <c r="Z54" s="488"/>
      <c r="AA54" s="488"/>
      <c r="AB54" s="489"/>
      <c r="AJ54" s="448"/>
    </row>
    <row r="55" spans="1:44" ht="30" hidden="1" customHeight="1">
      <c r="A55" s="423" t="s">
        <v>630</v>
      </c>
      <c r="C55" s="486" t="s">
        <v>148</v>
      </c>
      <c r="D55" s="501"/>
      <c r="E55" s="501"/>
      <c r="F55" s="501"/>
      <c r="G55" s="501"/>
      <c r="H55" s="502"/>
      <c r="I55" s="480" t="s">
        <v>134</v>
      </c>
      <c r="J55" s="503"/>
      <c r="K55" s="503"/>
      <c r="L55" s="503"/>
      <c r="M55" s="503"/>
      <c r="N55" s="504"/>
      <c r="O55" s="428" t="str">
        <f>超音波画像診断装置!Z3</f>
        <v>○</v>
      </c>
      <c r="P55" s="505" t="str">
        <f t="shared" si="3"/>
        <v>申請しない場合は入力不要です。</v>
      </c>
      <c r="Q55" s="488"/>
      <c r="R55" s="488"/>
      <c r="S55" s="488"/>
      <c r="T55" s="488"/>
      <c r="U55" s="488"/>
      <c r="V55" s="488"/>
      <c r="W55" s="488"/>
      <c r="X55" s="488"/>
      <c r="Y55" s="488"/>
      <c r="Z55" s="488"/>
      <c r="AA55" s="488"/>
      <c r="AB55" s="489"/>
      <c r="AJ55" s="448" t="str">
        <f t="shared" si="4"/>
        <v/>
      </c>
      <c r="AN55" s="405">
        <v>51</v>
      </c>
      <c r="AQ55" s="405" t="s">
        <v>149</v>
      </c>
      <c r="AR55" s="405" t="s">
        <v>150</v>
      </c>
    </row>
    <row r="56" spans="1:44" ht="30" hidden="1" customHeight="1">
      <c r="A56" s="423" t="s">
        <v>630</v>
      </c>
      <c r="C56" s="486" t="s">
        <v>151</v>
      </c>
      <c r="D56" s="501"/>
      <c r="E56" s="501"/>
      <c r="F56" s="501"/>
      <c r="G56" s="501"/>
      <c r="H56" s="502"/>
      <c r="I56" s="480" t="s">
        <v>134</v>
      </c>
      <c r="J56" s="503"/>
      <c r="K56" s="503"/>
      <c r="L56" s="503"/>
      <c r="M56" s="503"/>
      <c r="N56" s="504"/>
      <c r="O56" s="428" t="str">
        <f>血液浄化装置!Z3</f>
        <v>○</v>
      </c>
      <c r="P56" s="505" t="str">
        <f t="shared" si="3"/>
        <v>申請しない場合は入力不要です。</v>
      </c>
      <c r="Q56" s="488"/>
      <c r="R56" s="488"/>
      <c r="S56" s="488"/>
      <c r="T56" s="488"/>
      <c r="U56" s="488"/>
      <c r="V56" s="488"/>
      <c r="W56" s="488"/>
      <c r="X56" s="488"/>
      <c r="Y56" s="488"/>
      <c r="Z56" s="488"/>
      <c r="AA56" s="488"/>
      <c r="AB56" s="489"/>
      <c r="AJ56" s="448" t="str">
        <f t="shared" si="4"/>
        <v/>
      </c>
      <c r="AN56" s="405">
        <v>52</v>
      </c>
      <c r="AQ56" s="405" t="s">
        <v>152</v>
      </c>
      <c r="AR56" s="405" t="s">
        <v>153</v>
      </c>
    </row>
    <row r="57" spans="1:44" ht="30" hidden="1" customHeight="1">
      <c r="A57" s="423" t="s">
        <v>630</v>
      </c>
      <c r="C57" s="486" t="s">
        <v>154</v>
      </c>
      <c r="D57" s="501"/>
      <c r="E57" s="501"/>
      <c r="F57" s="501"/>
      <c r="G57" s="501"/>
      <c r="H57" s="502"/>
      <c r="I57" s="480" t="s">
        <v>134</v>
      </c>
      <c r="J57" s="503"/>
      <c r="K57" s="503"/>
      <c r="L57" s="503"/>
      <c r="M57" s="503"/>
      <c r="N57" s="504"/>
      <c r="O57" s="428" t="str">
        <f>気管支鏡!Z3</f>
        <v>○</v>
      </c>
      <c r="P57" s="505" t="str">
        <f t="shared" si="3"/>
        <v>申請しない場合は入力不要です。</v>
      </c>
      <c r="Q57" s="488"/>
      <c r="R57" s="488"/>
      <c r="S57" s="488"/>
      <c r="T57" s="488"/>
      <c r="U57" s="488"/>
      <c r="V57" s="488"/>
      <c r="W57" s="488"/>
      <c r="X57" s="488"/>
      <c r="Y57" s="488"/>
      <c r="Z57" s="488"/>
      <c r="AA57" s="488"/>
      <c r="AB57" s="489"/>
      <c r="AJ57" s="448" t="str">
        <f t="shared" si="4"/>
        <v/>
      </c>
      <c r="AN57" s="405">
        <v>53</v>
      </c>
      <c r="AQ57" s="405" t="s">
        <v>155</v>
      </c>
      <c r="AR57" s="405" t="s">
        <v>156</v>
      </c>
    </row>
    <row r="58" spans="1:44" ht="30" hidden="1" customHeight="1">
      <c r="A58" s="423" t="s">
        <v>630</v>
      </c>
      <c r="C58" s="486" t="s">
        <v>157</v>
      </c>
      <c r="D58" s="501"/>
      <c r="E58" s="501"/>
      <c r="F58" s="501"/>
      <c r="G58" s="501"/>
      <c r="H58" s="502"/>
      <c r="I58" s="480" t="s">
        <v>134</v>
      </c>
      <c r="J58" s="503"/>
      <c r="K58" s="503"/>
      <c r="L58" s="503"/>
      <c r="M58" s="503"/>
      <c r="N58" s="504"/>
      <c r="O58" s="428" t="str">
        <f>CT撮影装置!Z3</f>
        <v>○</v>
      </c>
      <c r="P58" s="505" t="str">
        <f t="shared" si="3"/>
        <v>申請しない場合は入力不要です。</v>
      </c>
      <c r="Q58" s="488"/>
      <c r="R58" s="488"/>
      <c r="S58" s="488"/>
      <c r="T58" s="488"/>
      <c r="U58" s="488"/>
      <c r="V58" s="488"/>
      <c r="W58" s="488"/>
      <c r="X58" s="488"/>
      <c r="Y58" s="488"/>
      <c r="Z58" s="488"/>
      <c r="AA58" s="488"/>
      <c r="AB58" s="489"/>
      <c r="AJ58" s="448" t="str">
        <f t="shared" si="4"/>
        <v/>
      </c>
      <c r="AN58" s="405">
        <v>54</v>
      </c>
      <c r="AQ58" s="405" t="s">
        <v>158</v>
      </c>
      <c r="AR58" s="405" t="s">
        <v>159</v>
      </c>
    </row>
    <row r="59" spans="1:44" ht="30" hidden="1" customHeight="1">
      <c r="A59" s="423" t="s">
        <v>630</v>
      </c>
      <c r="C59" s="486" t="s">
        <v>160</v>
      </c>
      <c r="D59" s="501"/>
      <c r="E59" s="501"/>
      <c r="F59" s="501"/>
      <c r="G59" s="501"/>
      <c r="H59" s="502"/>
      <c r="I59" s="480" t="s">
        <v>134</v>
      </c>
      <c r="J59" s="503"/>
      <c r="K59" s="503"/>
      <c r="L59" s="503"/>
      <c r="M59" s="503"/>
      <c r="N59" s="504"/>
      <c r="O59" s="428" t="str">
        <f>生体情報モニタ!Z3</f>
        <v>○</v>
      </c>
      <c r="P59" s="505" t="str">
        <f t="shared" si="3"/>
        <v>申請しない場合は入力不要です。</v>
      </c>
      <c r="Q59" s="488"/>
      <c r="R59" s="488"/>
      <c r="S59" s="488"/>
      <c r="T59" s="488"/>
      <c r="U59" s="488"/>
      <c r="V59" s="488"/>
      <c r="W59" s="488"/>
      <c r="X59" s="488"/>
      <c r="Y59" s="488"/>
      <c r="Z59" s="488"/>
      <c r="AA59" s="488"/>
      <c r="AB59" s="489"/>
      <c r="AJ59" s="448" t="str">
        <f t="shared" si="4"/>
        <v/>
      </c>
      <c r="AN59" s="405">
        <v>55</v>
      </c>
      <c r="AQ59" s="405" t="s">
        <v>161</v>
      </c>
      <c r="AR59" s="405" t="s">
        <v>162</v>
      </c>
    </row>
    <row r="60" spans="1:44" ht="30" hidden="1" customHeight="1">
      <c r="A60" s="423" t="s">
        <v>630</v>
      </c>
      <c r="C60" s="486" t="s">
        <v>163</v>
      </c>
      <c r="D60" s="501"/>
      <c r="E60" s="501"/>
      <c r="F60" s="501"/>
      <c r="G60" s="501"/>
      <c r="H60" s="502"/>
      <c r="I60" s="480" t="s">
        <v>134</v>
      </c>
      <c r="J60" s="503"/>
      <c r="K60" s="503"/>
      <c r="L60" s="503"/>
      <c r="M60" s="503"/>
      <c r="N60" s="504"/>
      <c r="O60" s="428" t="str">
        <f>分娩監視装置!Z3</f>
        <v>○</v>
      </c>
      <c r="P60" s="505" t="str">
        <f t="shared" si="3"/>
        <v>申請しない場合は入力不要です。</v>
      </c>
      <c r="Q60" s="488"/>
      <c r="R60" s="488"/>
      <c r="S60" s="488"/>
      <c r="T60" s="488"/>
      <c r="U60" s="488"/>
      <c r="V60" s="488"/>
      <c r="W60" s="488"/>
      <c r="X60" s="488"/>
      <c r="Y60" s="488"/>
      <c r="Z60" s="488"/>
      <c r="AA60" s="488"/>
      <c r="AB60" s="489"/>
      <c r="AJ60" s="448" t="str">
        <f t="shared" si="4"/>
        <v/>
      </c>
      <c r="AN60" s="405">
        <v>56</v>
      </c>
      <c r="AQ60" s="405" t="s">
        <v>164</v>
      </c>
      <c r="AR60" s="405" t="s">
        <v>165</v>
      </c>
    </row>
    <row r="61" spans="1:44" ht="30" hidden="1" customHeight="1">
      <c r="A61" s="423" t="s">
        <v>630</v>
      </c>
      <c r="C61" s="486" t="s">
        <v>166</v>
      </c>
      <c r="D61" s="501"/>
      <c r="E61" s="501"/>
      <c r="F61" s="501"/>
      <c r="G61" s="501"/>
      <c r="H61" s="502"/>
      <c r="I61" s="480" t="s">
        <v>134</v>
      </c>
      <c r="J61" s="503"/>
      <c r="K61" s="503"/>
      <c r="L61" s="503"/>
      <c r="M61" s="503"/>
      <c r="N61" s="504"/>
      <c r="O61" s="428" t="str">
        <f>新生児モニタ!Z3</f>
        <v>○</v>
      </c>
      <c r="P61" s="505" t="str">
        <f t="shared" si="3"/>
        <v>申請しない場合は入力不要です。</v>
      </c>
      <c r="Q61" s="488"/>
      <c r="R61" s="488"/>
      <c r="S61" s="488"/>
      <c r="T61" s="488"/>
      <c r="U61" s="488"/>
      <c r="V61" s="488"/>
      <c r="W61" s="488"/>
      <c r="X61" s="488"/>
      <c r="Y61" s="488"/>
      <c r="Z61" s="488"/>
      <c r="AA61" s="488"/>
      <c r="AB61" s="489"/>
      <c r="AJ61" s="448" t="str">
        <f t="shared" si="4"/>
        <v/>
      </c>
      <c r="AN61" s="405">
        <v>57</v>
      </c>
      <c r="AQ61" s="405" t="s">
        <v>167</v>
      </c>
      <c r="AR61" s="405" t="s">
        <v>168</v>
      </c>
    </row>
    <row r="62" spans="1:44" ht="30" customHeight="1">
      <c r="H62" s="405"/>
      <c r="I62" s="405"/>
      <c r="J62" s="405"/>
      <c r="K62" s="405"/>
      <c r="L62" s="405"/>
      <c r="M62" s="405"/>
      <c r="N62" s="405"/>
      <c r="O62" s="405"/>
      <c r="P62" s="405"/>
      <c r="AN62" s="405">
        <v>58</v>
      </c>
      <c r="AQ62" s="405" t="s">
        <v>169</v>
      </c>
      <c r="AR62" s="405" t="s">
        <v>170</v>
      </c>
    </row>
    <row r="63" spans="1:44" ht="30" customHeight="1">
      <c r="C63" s="496"/>
      <c r="D63" s="497"/>
      <c r="E63" s="497"/>
      <c r="F63" s="497"/>
      <c r="G63" s="497"/>
      <c r="H63" s="497"/>
      <c r="I63" s="506"/>
      <c r="J63" s="506"/>
      <c r="K63" s="506"/>
      <c r="L63" s="506"/>
      <c r="M63" s="506"/>
      <c r="N63" s="507"/>
      <c r="O63" s="425"/>
      <c r="P63" s="499"/>
      <c r="Q63" s="500"/>
      <c r="R63" s="500"/>
      <c r="S63" s="500"/>
      <c r="T63" s="500"/>
      <c r="U63" s="500"/>
      <c r="V63" s="500"/>
      <c r="W63" s="500"/>
      <c r="X63" s="500"/>
      <c r="Y63" s="500"/>
      <c r="Z63" s="500"/>
      <c r="AA63" s="500"/>
      <c r="AB63" s="500"/>
      <c r="AN63" s="405">
        <v>59</v>
      </c>
      <c r="AQ63" s="405" t="s">
        <v>171</v>
      </c>
      <c r="AR63" s="405" t="s">
        <v>172</v>
      </c>
    </row>
    <row r="64" spans="1:44" ht="30" customHeight="1">
      <c r="C64" s="496"/>
      <c r="D64" s="497"/>
      <c r="E64" s="497"/>
      <c r="F64" s="497"/>
      <c r="G64" s="497"/>
      <c r="H64" s="497"/>
      <c r="I64" s="498"/>
      <c r="J64" s="499"/>
      <c r="K64" s="499"/>
      <c r="L64" s="499"/>
      <c r="M64" s="499"/>
      <c r="N64" s="500"/>
      <c r="O64" s="425"/>
      <c r="P64" s="499"/>
      <c r="Q64" s="500"/>
      <c r="R64" s="500"/>
      <c r="S64" s="500"/>
      <c r="T64" s="500"/>
      <c r="U64" s="500"/>
      <c r="V64" s="500"/>
      <c r="W64" s="500"/>
      <c r="X64" s="500"/>
      <c r="Y64" s="500"/>
      <c r="Z64" s="500"/>
      <c r="AA64" s="500"/>
      <c r="AB64" s="500"/>
      <c r="AN64" s="405">
        <v>60</v>
      </c>
      <c r="AQ64" s="405" t="s">
        <v>173</v>
      </c>
      <c r="AR64" s="405" t="s">
        <v>174</v>
      </c>
    </row>
    <row r="65" spans="3:44" ht="30" customHeight="1">
      <c r="C65" s="496"/>
      <c r="D65" s="497"/>
      <c r="E65" s="497"/>
      <c r="F65" s="497"/>
      <c r="G65" s="497"/>
      <c r="H65" s="497"/>
      <c r="I65" s="498"/>
      <c r="J65" s="499"/>
      <c r="K65" s="499"/>
      <c r="L65" s="499"/>
      <c r="M65" s="499"/>
      <c r="N65" s="500"/>
      <c r="O65" s="425"/>
      <c r="P65" s="499"/>
      <c r="Q65" s="500"/>
      <c r="R65" s="500"/>
      <c r="S65" s="500"/>
      <c r="T65" s="500"/>
      <c r="U65" s="500"/>
      <c r="V65" s="500"/>
      <c r="W65" s="500"/>
      <c r="X65" s="500"/>
      <c r="Y65" s="500"/>
      <c r="Z65" s="500"/>
      <c r="AA65" s="500"/>
      <c r="AB65" s="500"/>
      <c r="AN65" s="405">
        <v>61</v>
      </c>
      <c r="AQ65" s="405" t="s">
        <v>175</v>
      </c>
      <c r="AR65" s="405" t="s">
        <v>176</v>
      </c>
    </row>
    <row r="66" spans="3:44" ht="33">
      <c r="AN66" s="405">
        <v>62</v>
      </c>
      <c r="AQ66" s="405" t="s">
        <v>177</v>
      </c>
      <c r="AR66" s="405" t="s">
        <v>178</v>
      </c>
    </row>
    <row r="67" spans="3:44" ht="33">
      <c r="AN67" s="405">
        <v>63</v>
      </c>
      <c r="AQ67" s="405" t="s">
        <v>179</v>
      </c>
      <c r="AR67" s="405" t="s">
        <v>180</v>
      </c>
    </row>
    <row r="68" spans="3:44" ht="33">
      <c r="AN68" s="405">
        <v>64</v>
      </c>
      <c r="AQ68" s="405" t="s">
        <v>181</v>
      </c>
      <c r="AR68" s="405" t="s">
        <v>182</v>
      </c>
    </row>
    <row r="69" spans="3:44" ht="33">
      <c r="AN69" s="405">
        <v>65</v>
      </c>
      <c r="AQ69" s="405" t="s">
        <v>183</v>
      </c>
      <c r="AR69" s="405" t="s">
        <v>184</v>
      </c>
    </row>
    <row r="70" spans="3:44" ht="33">
      <c r="AN70" s="405">
        <v>66</v>
      </c>
      <c r="AQ70" s="405" t="s">
        <v>185</v>
      </c>
      <c r="AR70" s="405" t="s">
        <v>186</v>
      </c>
    </row>
    <row r="71" spans="3:44" ht="33">
      <c r="AN71" s="405">
        <v>67</v>
      </c>
      <c r="AQ71" s="405" t="s">
        <v>187</v>
      </c>
      <c r="AR71" s="405" t="s">
        <v>188</v>
      </c>
    </row>
    <row r="72" spans="3:44" ht="33">
      <c r="AN72" s="405">
        <v>68</v>
      </c>
      <c r="AQ72" s="405" t="s">
        <v>189</v>
      </c>
      <c r="AR72" s="405" t="s">
        <v>190</v>
      </c>
    </row>
    <row r="73" spans="3:44" ht="33">
      <c r="AN73" s="405">
        <v>69</v>
      </c>
      <c r="AQ73" s="405" t="s">
        <v>191</v>
      </c>
      <c r="AR73" s="405" t="s">
        <v>192</v>
      </c>
    </row>
    <row r="74" spans="3:44" ht="33">
      <c r="AN74" s="405">
        <v>70</v>
      </c>
      <c r="AQ74" s="405" t="s">
        <v>193</v>
      </c>
      <c r="AR74" s="405" t="s">
        <v>194</v>
      </c>
    </row>
    <row r="75" spans="3:44" ht="33">
      <c r="AN75" s="405">
        <v>71</v>
      </c>
      <c r="AQ75" s="405" t="s">
        <v>195</v>
      </c>
      <c r="AR75" s="405" t="s">
        <v>196</v>
      </c>
    </row>
    <row r="76" spans="3:44" ht="33">
      <c r="AN76" s="405">
        <v>72</v>
      </c>
      <c r="AQ76" s="405" t="s">
        <v>197</v>
      </c>
      <c r="AR76" s="405" t="s">
        <v>198</v>
      </c>
    </row>
    <row r="77" spans="3:44" ht="33">
      <c r="AN77" s="405">
        <v>73</v>
      </c>
      <c r="AQ77" s="405" t="s">
        <v>199</v>
      </c>
      <c r="AR77" s="405" t="s">
        <v>200</v>
      </c>
    </row>
    <row r="78" spans="3:44" ht="33">
      <c r="AN78" s="405">
        <v>74</v>
      </c>
      <c r="AQ78" s="405" t="s">
        <v>201</v>
      </c>
      <c r="AR78" s="405" t="s">
        <v>202</v>
      </c>
    </row>
    <row r="79" spans="3:44" ht="33">
      <c r="AN79" s="405">
        <v>75</v>
      </c>
      <c r="AQ79" s="405" t="s">
        <v>203</v>
      </c>
      <c r="AR79" s="405" t="s">
        <v>204</v>
      </c>
    </row>
    <row r="80" spans="3:44" ht="33">
      <c r="AN80" s="405">
        <v>76</v>
      </c>
      <c r="AQ80" s="405" t="s">
        <v>205</v>
      </c>
      <c r="AR80" s="405" t="s">
        <v>206</v>
      </c>
    </row>
    <row r="81" spans="40:44" ht="33">
      <c r="AN81" s="405">
        <v>77</v>
      </c>
      <c r="AQ81" s="405" t="s">
        <v>207</v>
      </c>
      <c r="AR81" s="405" t="s">
        <v>208</v>
      </c>
    </row>
    <row r="82" spans="40:44" ht="33">
      <c r="AN82" s="405">
        <v>78</v>
      </c>
      <c r="AQ82" s="405" t="s">
        <v>209</v>
      </c>
      <c r="AR82" s="405" t="s">
        <v>210</v>
      </c>
    </row>
    <row r="83" spans="40:44" ht="33">
      <c r="AN83" s="405">
        <v>79</v>
      </c>
      <c r="AQ83" s="405" t="s">
        <v>211</v>
      </c>
      <c r="AR83" s="405" t="s">
        <v>212</v>
      </c>
    </row>
    <row r="84" spans="40:44" ht="33">
      <c r="AN84" s="405">
        <v>80</v>
      </c>
      <c r="AQ84" s="405" t="s">
        <v>213</v>
      </c>
      <c r="AR84" s="405" t="s">
        <v>214</v>
      </c>
    </row>
    <row r="85" spans="40:44" ht="33">
      <c r="AN85" s="405">
        <v>81</v>
      </c>
      <c r="AQ85" s="405" t="s">
        <v>215</v>
      </c>
      <c r="AR85" s="405" t="s">
        <v>216</v>
      </c>
    </row>
    <row r="86" spans="40:44" ht="33">
      <c r="AN86" s="405">
        <v>82</v>
      </c>
      <c r="AQ86" s="405" t="s">
        <v>217</v>
      </c>
      <c r="AR86" s="405" t="s">
        <v>218</v>
      </c>
    </row>
    <row r="87" spans="40:44" ht="33">
      <c r="AN87" s="405">
        <v>83</v>
      </c>
      <c r="AQ87" s="405" t="s">
        <v>219</v>
      </c>
      <c r="AR87" s="405" t="s">
        <v>220</v>
      </c>
    </row>
    <row r="88" spans="40:44" ht="33">
      <c r="AN88" s="405">
        <v>84</v>
      </c>
      <c r="AQ88" s="405" t="s">
        <v>221</v>
      </c>
      <c r="AR88" s="405" t="s">
        <v>222</v>
      </c>
    </row>
    <row r="89" spans="40:44" ht="33">
      <c r="AN89" s="405">
        <v>85</v>
      </c>
      <c r="AQ89" s="405" t="s">
        <v>223</v>
      </c>
      <c r="AR89" s="405" t="s">
        <v>224</v>
      </c>
    </row>
    <row r="90" spans="40:44" ht="33">
      <c r="AN90" s="405">
        <v>86</v>
      </c>
      <c r="AQ90" s="405" t="s">
        <v>225</v>
      </c>
      <c r="AR90" s="405" t="s">
        <v>226</v>
      </c>
    </row>
    <row r="91" spans="40:44" ht="33">
      <c r="AN91" s="405">
        <v>87</v>
      </c>
      <c r="AQ91" s="405" t="s">
        <v>227</v>
      </c>
      <c r="AR91" s="405" t="s">
        <v>228</v>
      </c>
    </row>
    <row r="92" spans="40:44" ht="33">
      <c r="AN92" s="405">
        <v>88</v>
      </c>
      <c r="AQ92" s="405" t="s">
        <v>229</v>
      </c>
      <c r="AR92" s="405" t="s">
        <v>230</v>
      </c>
    </row>
    <row r="93" spans="40:44" ht="33">
      <c r="AN93" s="405">
        <v>89</v>
      </c>
      <c r="AQ93" s="405" t="s">
        <v>231</v>
      </c>
      <c r="AR93" s="405" t="s">
        <v>232</v>
      </c>
    </row>
    <row r="94" spans="40:44" ht="33">
      <c r="AN94" s="405">
        <v>90</v>
      </c>
      <c r="AQ94" s="405" t="s">
        <v>233</v>
      </c>
      <c r="AR94" s="405" t="s">
        <v>234</v>
      </c>
    </row>
    <row r="95" spans="40:44" ht="33">
      <c r="AN95" s="405">
        <v>91</v>
      </c>
      <c r="AQ95" s="405" t="s">
        <v>235</v>
      </c>
      <c r="AR95" s="405" t="s">
        <v>236</v>
      </c>
    </row>
    <row r="96" spans="40:44" ht="33">
      <c r="AN96" s="405">
        <v>92</v>
      </c>
      <c r="AQ96" s="405" t="s">
        <v>237</v>
      </c>
      <c r="AR96" s="405" t="s">
        <v>238</v>
      </c>
    </row>
    <row r="97" spans="40:44" ht="33">
      <c r="AN97" s="405">
        <v>93</v>
      </c>
      <c r="AQ97" s="405" t="s">
        <v>239</v>
      </c>
      <c r="AR97" s="405" t="s">
        <v>240</v>
      </c>
    </row>
    <row r="98" spans="40:44" ht="33">
      <c r="AN98" s="405">
        <v>94</v>
      </c>
      <c r="AQ98" s="405" t="s">
        <v>241</v>
      </c>
      <c r="AR98" s="405" t="s">
        <v>242</v>
      </c>
    </row>
    <row r="99" spans="40:44" ht="33">
      <c r="AN99" s="405">
        <v>95</v>
      </c>
      <c r="AQ99" s="405" t="s">
        <v>243</v>
      </c>
      <c r="AR99" s="405" t="s">
        <v>244</v>
      </c>
    </row>
    <row r="100" spans="40:44" ht="33">
      <c r="AN100" s="405">
        <v>96</v>
      </c>
      <c r="AQ100" s="405" t="s">
        <v>245</v>
      </c>
      <c r="AR100" s="405" t="s">
        <v>246</v>
      </c>
    </row>
    <row r="101" spans="40:44" ht="33">
      <c r="AN101" s="405">
        <v>97</v>
      </c>
      <c r="AQ101" s="405" t="s">
        <v>247</v>
      </c>
      <c r="AR101" s="405" t="s">
        <v>248</v>
      </c>
    </row>
    <row r="102" spans="40:44" ht="33">
      <c r="AN102" s="405">
        <v>98</v>
      </c>
      <c r="AQ102" s="405" t="s">
        <v>249</v>
      </c>
      <c r="AR102" s="405" t="s">
        <v>250</v>
      </c>
    </row>
    <row r="103" spans="40:44" ht="33">
      <c r="AN103" s="405">
        <v>99</v>
      </c>
      <c r="AQ103" s="405" t="s">
        <v>251</v>
      </c>
      <c r="AR103" s="405" t="s">
        <v>252</v>
      </c>
    </row>
    <row r="104" spans="40:44" ht="33">
      <c r="AN104" s="405">
        <v>100</v>
      </c>
      <c r="AQ104" s="405" t="s">
        <v>253</v>
      </c>
      <c r="AR104" s="405" t="s">
        <v>254</v>
      </c>
    </row>
    <row r="105" spans="40:44" ht="33">
      <c r="AN105" s="405">
        <v>101</v>
      </c>
      <c r="AQ105" s="405" t="s">
        <v>255</v>
      </c>
      <c r="AR105" s="405" t="s">
        <v>256</v>
      </c>
    </row>
    <row r="106" spans="40:44" ht="33">
      <c r="AN106" s="405">
        <v>102</v>
      </c>
      <c r="AQ106" s="405" t="s">
        <v>257</v>
      </c>
      <c r="AR106" s="405" t="s">
        <v>258</v>
      </c>
    </row>
    <row r="107" spans="40:44" ht="33">
      <c r="AN107" s="405">
        <v>103</v>
      </c>
      <c r="AQ107" s="405" t="s">
        <v>259</v>
      </c>
      <c r="AR107" s="405" t="s">
        <v>260</v>
      </c>
    </row>
    <row r="108" spans="40:44" ht="33">
      <c r="AN108" s="405">
        <v>104</v>
      </c>
      <c r="AQ108" s="405" t="s">
        <v>261</v>
      </c>
      <c r="AR108" s="405" t="s">
        <v>262</v>
      </c>
    </row>
    <row r="109" spans="40:44" ht="33">
      <c r="AN109" s="405">
        <v>105</v>
      </c>
      <c r="AQ109" s="405" t="s">
        <v>263</v>
      </c>
      <c r="AR109" s="405" t="s">
        <v>264</v>
      </c>
    </row>
    <row r="110" spans="40:44" ht="33">
      <c r="AN110" s="405">
        <v>106</v>
      </c>
      <c r="AQ110" s="405" t="s">
        <v>265</v>
      </c>
      <c r="AR110" s="405" t="s">
        <v>266</v>
      </c>
    </row>
    <row r="111" spans="40:44" ht="33">
      <c r="AN111" s="405">
        <v>107</v>
      </c>
      <c r="AQ111" s="405" t="s">
        <v>267</v>
      </c>
      <c r="AR111" s="405" t="s">
        <v>268</v>
      </c>
    </row>
    <row r="112" spans="40:44" ht="33">
      <c r="AN112" s="405">
        <v>108</v>
      </c>
      <c r="AQ112" s="405" t="s">
        <v>269</v>
      </c>
      <c r="AR112" s="405" t="s">
        <v>270</v>
      </c>
    </row>
    <row r="113" spans="40:44" ht="33">
      <c r="AN113" s="405">
        <v>109</v>
      </c>
      <c r="AQ113" s="405" t="s">
        <v>271</v>
      </c>
      <c r="AR113" s="405" t="s">
        <v>272</v>
      </c>
    </row>
    <row r="114" spans="40:44" ht="33">
      <c r="AN114" s="405">
        <v>110</v>
      </c>
      <c r="AQ114" s="405" t="s">
        <v>273</v>
      </c>
      <c r="AR114" s="405" t="s">
        <v>274</v>
      </c>
    </row>
    <row r="115" spans="40:44" ht="33">
      <c r="AN115" s="405">
        <v>111</v>
      </c>
      <c r="AQ115" s="405" t="s">
        <v>275</v>
      </c>
      <c r="AR115" s="405" t="s">
        <v>276</v>
      </c>
    </row>
    <row r="116" spans="40:44" ht="33">
      <c r="AN116" s="405">
        <v>112</v>
      </c>
      <c r="AQ116" s="405" t="s">
        <v>277</v>
      </c>
      <c r="AR116" s="405" t="s">
        <v>278</v>
      </c>
    </row>
    <row r="117" spans="40:44" ht="33">
      <c r="AN117" s="405">
        <v>113</v>
      </c>
      <c r="AQ117" s="405" t="s">
        <v>279</v>
      </c>
      <c r="AR117" s="405" t="s">
        <v>280</v>
      </c>
    </row>
    <row r="118" spans="40:44" ht="33">
      <c r="AN118" s="405">
        <v>114</v>
      </c>
      <c r="AQ118" s="405" t="s">
        <v>281</v>
      </c>
      <c r="AR118" s="405" t="s">
        <v>282</v>
      </c>
    </row>
    <row r="119" spans="40:44" ht="33">
      <c r="AN119" s="405">
        <v>115</v>
      </c>
      <c r="AQ119" s="405" t="s">
        <v>283</v>
      </c>
      <c r="AR119" s="405" t="s">
        <v>284</v>
      </c>
    </row>
    <row r="120" spans="40:44" ht="33">
      <c r="AN120" s="405">
        <v>116</v>
      </c>
      <c r="AQ120" s="405" t="s">
        <v>285</v>
      </c>
      <c r="AR120" s="405" t="s">
        <v>286</v>
      </c>
    </row>
    <row r="121" spans="40:44" ht="33">
      <c r="AN121" s="405">
        <v>117</v>
      </c>
      <c r="AQ121" s="405" t="s">
        <v>287</v>
      </c>
      <c r="AR121" s="405" t="s">
        <v>288</v>
      </c>
    </row>
    <row r="122" spans="40:44" ht="33">
      <c r="AN122" s="405">
        <v>118</v>
      </c>
      <c r="AQ122" s="405" t="s">
        <v>289</v>
      </c>
      <c r="AR122" s="405" t="s">
        <v>290</v>
      </c>
    </row>
    <row r="123" spans="40:44" ht="33">
      <c r="AN123" s="405">
        <v>119</v>
      </c>
      <c r="AQ123" s="405" t="s">
        <v>291</v>
      </c>
      <c r="AR123" s="405" t="s">
        <v>292</v>
      </c>
    </row>
    <row r="124" spans="40:44" ht="33">
      <c r="AN124" s="405">
        <v>120</v>
      </c>
      <c r="AQ124" s="405" t="s">
        <v>293</v>
      </c>
      <c r="AR124" s="405" t="s">
        <v>294</v>
      </c>
    </row>
    <row r="125" spans="40:44" ht="33">
      <c r="AN125" s="405">
        <v>121</v>
      </c>
      <c r="AQ125" s="405" t="s">
        <v>295</v>
      </c>
      <c r="AR125" s="405" t="s">
        <v>296</v>
      </c>
    </row>
    <row r="126" spans="40:44" ht="33">
      <c r="AN126" s="405">
        <v>122</v>
      </c>
      <c r="AQ126" s="405" t="s">
        <v>297</v>
      </c>
      <c r="AR126" s="405" t="s">
        <v>298</v>
      </c>
    </row>
    <row r="127" spans="40:44" ht="33">
      <c r="AN127" s="405">
        <v>123</v>
      </c>
      <c r="AQ127" s="405" t="s">
        <v>299</v>
      </c>
      <c r="AR127" s="405" t="s">
        <v>300</v>
      </c>
    </row>
    <row r="128" spans="40:44" ht="33">
      <c r="AN128" s="405">
        <v>124</v>
      </c>
      <c r="AQ128" s="405" t="s">
        <v>301</v>
      </c>
      <c r="AR128" s="405" t="s">
        <v>302</v>
      </c>
    </row>
    <row r="129" spans="40:44" ht="33">
      <c r="AN129" s="405">
        <v>125</v>
      </c>
      <c r="AQ129" s="405" t="s">
        <v>303</v>
      </c>
      <c r="AR129" s="405" t="s">
        <v>304</v>
      </c>
    </row>
    <row r="130" spans="40:44" ht="33">
      <c r="AN130" s="405">
        <v>126</v>
      </c>
      <c r="AQ130" s="405" t="s">
        <v>305</v>
      </c>
      <c r="AR130" s="405" t="s">
        <v>306</v>
      </c>
    </row>
    <row r="131" spans="40:44" ht="33">
      <c r="AN131" s="405">
        <v>127</v>
      </c>
      <c r="AQ131" s="405" t="s">
        <v>307</v>
      </c>
      <c r="AR131" s="405" t="s">
        <v>308</v>
      </c>
    </row>
    <row r="132" spans="40:44" ht="33">
      <c r="AN132" s="405">
        <v>128</v>
      </c>
      <c r="AQ132" s="405" t="s">
        <v>309</v>
      </c>
      <c r="AR132" s="405" t="s">
        <v>310</v>
      </c>
    </row>
    <row r="133" spans="40:44" ht="33">
      <c r="AN133" s="405">
        <v>129</v>
      </c>
      <c r="AQ133" s="405" t="s">
        <v>311</v>
      </c>
      <c r="AR133" s="405" t="s">
        <v>312</v>
      </c>
    </row>
    <row r="134" spans="40:44" ht="33">
      <c r="AN134" s="405">
        <v>130</v>
      </c>
      <c r="AQ134" s="405" t="s">
        <v>313</v>
      </c>
      <c r="AR134" s="405" t="s">
        <v>314</v>
      </c>
    </row>
    <row r="135" spans="40:44" ht="33">
      <c r="AN135" s="405">
        <v>131</v>
      </c>
      <c r="AQ135" s="405" t="s">
        <v>315</v>
      </c>
      <c r="AR135" s="405" t="s">
        <v>316</v>
      </c>
    </row>
    <row r="136" spans="40:44" ht="33">
      <c r="AN136" s="405">
        <v>132</v>
      </c>
      <c r="AQ136" s="405" t="s">
        <v>317</v>
      </c>
      <c r="AR136" s="405" t="s">
        <v>318</v>
      </c>
    </row>
    <row r="137" spans="40:44" ht="33">
      <c r="AN137" s="405">
        <v>133</v>
      </c>
      <c r="AQ137" s="405" t="s">
        <v>319</v>
      </c>
      <c r="AR137" s="405" t="s">
        <v>320</v>
      </c>
    </row>
    <row r="138" spans="40:44" ht="33">
      <c r="AN138" s="405">
        <v>134</v>
      </c>
      <c r="AQ138" s="405" t="s">
        <v>321</v>
      </c>
      <c r="AR138" s="405" t="s">
        <v>322</v>
      </c>
    </row>
    <row r="139" spans="40:44" ht="33">
      <c r="AN139" s="405">
        <v>135</v>
      </c>
      <c r="AQ139" s="405" t="s">
        <v>323</v>
      </c>
      <c r="AR139" s="405" t="s">
        <v>324</v>
      </c>
    </row>
    <row r="140" spans="40:44" ht="33">
      <c r="AN140" s="405">
        <v>136</v>
      </c>
      <c r="AQ140" s="405" t="s">
        <v>325</v>
      </c>
      <c r="AR140" s="405" t="s">
        <v>326</v>
      </c>
    </row>
    <row r="141" spans="40:44" ht="33">
      <c r="AN141" s="405">
        <v>137</v>
      </c>
      <c r="AQ141" s="405" t="s">
        <v>327</v>
      </c>
      <c r="AR141" s="405" t="s">
        <v>328</v>
      </c>
    </row>
    <row r="142" spans="40:44" ht="33">
      <c r="AN142" s="405">
        <v>138</v>
      </c>
      <c r="AQ142" s="405" t="s">
        <v>329</v>
      </c>
      <c r="AR142" s="405" t="s">
        <v>330</v>
      </c>
    </row>
    <row r="143" spans="40:44" ht="33">
      <c r="AN143" s="405">
        <v>139</v>
      </c>
      <c r="AQ143" s="405" t="s">
        <v>331</v>
      </c>
      <c r="AR143" s="405" t="s">
        <v>332</v>
      </c>
    </row>
    <row r="144" spans="40:44" ht="33">
      <c r="AN144" s="405">
        <v>140</v>
      </c>
      <c r="AQ144" s="405" t="s">
        <v>333</v>
      </c>
      <c r="AR144" s="405" t="s">
        <v>334</v>
      </c>
    </row>
    <row r="145" spans="40:44" ht="33">
      <c r="AN145" s="405">
        <v>141</v>
      </c>
      <c r="AQ145" s="405" t="s">
        <v>335</v>
      </c>
      <c r="AR145" s="405" t="s">
        <v>336</v>
      </c>
    </row>
    <row r="146" spans="40:44" ht="33">
      <c r="AN146" s="405">
        <v>142</v>
      </c>
      <c r="AQ146" s="405" t="s">
        <v>337</v>
      </c>
      <c r="AR146" s="405" t="s">
        <v>338</v>
      </c>
    </row>
    <row r="147" spans="40:44" ht="33">
      <c r="AN147" s="405">
        <v>143</v>
      </c>
      <c r="AQ147" s="405" t="s">
        <v>339</v>
      </c>
      <c r="AR147" s="405" t="s">
        <v>340</v>
      </c>
    </row>
    <row r="148" spans="40:44" ht="33">
      <c r="AN148" s="405">
        <v>144</v>
      </c>
      <c r="AQ148" s="405" t="s">
        <v>341</v>
      </c>
      <c r="AR148" s="405" t="s">
        <v>342</v>
      </c>
    </row>
    <row r="149" spans="40:44" ht="33">
      <c r="AN149" s="405">
        <v>145</v>
      </c>
      <c r="AQ149" s="405" t="s">
        <v>343</v>
      </c>
      <c r="AR149" s="405" t="s">
        <v>344</v>
      </c>
    </row>
    <row r="150" spans="40:44" ht="33">
      <c r="AN150" s="405">
        <v>146</v>
      </c>
      <c r="AQ150" s="405" t="s">
        <v>345</v>
      </c>
      <c r="AR150" s="405" t="s">
        <v>346</v>
      </c>
    </row>
    <row r="151" spans="40:44" ht="33">
      <c r="AN151" s="405">
        <v>147</v>
      </c>
      <c r="AQ151" s="405" t="s">
        <v>347</v>
      </c>
      <c r="AR151" s="405" t="s">
        <v>348</v>
      </c>
    </row>
    <row r="152" spans="40:44" ht="33">
      <c r="AN152" s="405">
        <v>148</v>
      </c>
      <c r="AQ152" s="405" t="s">
        <v>349</v>
      </c>
      <c r="AR152" s="405" t="s">
        <v>350</v>
      </c>
    </row>
    <row r="153" spans="40:44" ht="33">
      <c r="AN153" s="405">
        <v>149</v>
      </c>
      <c r="AQ153" s="405" t="s">
        <v>351</v>
      </c>
      <c r="AR153" s="405" t="s">
        <v>352</v>
      </c>
    </row>
    <row r="154" spans="40:44" ht="33">
      <c r="AN154" s="405">
        <v>150</v>
      </c>
      <c r="AQ154" s="405" t="s">
        <v>353</v>
      </c>
      <c r="AR154" s="405" t="s">
        <v>354</v>
      </c>
    </row>
    <row r="155" spans="40:44" ht="33">
      <c r="AN155" s="405">
        <v>151</v>
      </c>
      <c r="AQ155" s="405" t="s">
        <v>355</v>
      </c>
      <c r="AR155" s="405" t="s">
        <v>356</v>
      </c>
    </row>
    <row r="156" spans="40:44" ht="33">
      <c r="AN156" s="405">
        <v>152</v>
      </c>
      <c r="AQ156" s="405" t="s">
        <v>357</v>
      </c>
      <c r="AR156" s="405" t="s">
        <v>358</v>
      </c>
    </row>
    <row r="157" spans="40:44" ht="33">
      <c r="AN157" s="405">
        <v>153</v>
      </c>
      <c r="AQ157" s="405" t="s">
        <v>359</v>
      </c>
      <c r="AR157" s="405" t="s">
        <v>360</v>
      </c>
    </row>
    <row r="158" spans="40:44" ht="33">
      <c r="AN158" s="405">
        <v>154</v>
      </c>
      <c r="AQ158" s="405" t="s">
        <v>361</v>
      </c>
      <c r="AR158" s="405" t="s">
        <v>362</v>
      </c>
    </row>
    <row r="159" spans="40:44" ht="33">
      <c r="AN159" s="405">
        <v>155</v>
      </c>
      <c r="AQ159" s="405" t="s">
        <v>363</v>
      </c>
      <c r="AR159" s="405" t="s">
        <v>364</v>
      </c>
    </row>
    <row r="160" spans="40:44" ht="33">
      <c r="AN160" s="405">
        <v>156</v>
      </c>
      <c r="AQ160" s="405" t="s">
        <v>365</v>
      </c>
      <c r="AR160" s="405" t="s">
        <v>366</v>
      </c>
    </row>
    <row r="161" spans="40:44" ht="33">
      <c r="AN161" s="405">
        <v>157</v>
      </c>
      <c r="AQ161" s="405" t="s">
        <v>367</v>
      </c>
      <c r="AR161" s="405" t="s">
        <v>368</v>
      </c>
    </row>
    <row r="162" spans="40:44" ht="33">
      <c r="AN162" s="405">
        <v>158</v>
      </c>
      <c r="AQ162" s="405" t="s">
        <v>369</v>
      </c>
      <c r="AR162" s="405" t="s">
        <v>370</v>
      </c>
    </row>
    <row r="163" spans="40:44" ht="33">
      <c r="AN163" s="405">
        <v>159</v>
      </c>
      <c r="AQ163" s="405" t="s">
        <v>371</v>
      </c>
      <c r="AR163" s="405" t="s">
        <v>372</v>
      </c>
    </row>
    <row r="164" spans="40:44" ht="33">
      <c r="AN164" s="405">
        <v>160</v>
      </c>
      <c r="AQ164" s="405" t="s">
        <v>373</v>
      </c>
      <c r="AR164" s="405" t="s">
        <v>374</v>
      </c>
    </row>
    <row r="165" spans="40:44" ht="33">
      <c r="AN165" s="405">
        <v>161</v>
      </c>
      <c r="AQ165" s="405" t="s">
        <v>375</v>
      </c>
      <c r="AR165" s="405" t="s">
        <v>376</v>
      </c>
    </row>
    <row r="166" spans="40:44" ht="33">
      <c r="AN166" s="405">
        <v>162</v>
      </c>
      <c r="AQ166" s="405" t="s">
        <v>377</v>
      </c>
      <c r="AR166" s="405" t="s">
        <v>378</v>
      </c>
    </row>
    <row r="167" spans="40:44" ht="33">
      <c r="AN167" s="405">
        <v>163</v>
      </c>
      <c r="AQ167" s="405" t="s">
        <v>379</v>
      </c>
      <c r="AR167" s="405" t="s">
        <v>380</v>
      </c>
    </row>
    <row r="168" spans="40:44" ht="33">
      <c r="AN168" s="405">
        <v>164</v>
      </c>
      <c r="AQ168" s="405" t="s">
        <v>381</v>
      </c>
      <c r="AR168" s="405" t="s">
        <v>382</v>
      </c>
    </row>
    <row r="169" spans="40:44" ht="33">
      <c r="AN169" s="405">
        <v>165</v>
      </c>
      <c r="AQ169" s="405" t="s">
        <v>383</v>
      </c>
      <c r="AR169" s="405" t="s">
        <v>384</v>
      </c>
    </row>
    <row r="170" spans="40:44" ht="33">
      <c r="AN170" s="405">
        <v>166</v>
      </c>
      <c r="AQ170" s="405" t="s">
        <v>385</v>
      </c>
      <c r="AR170" s="405" t="s">
        <v>386</v>
      </c>
    </row>
    <row r="171" spans="40:44" ht="33">
      <c r="AN171" s="405">
        <v>167</v>
      </c>
      <c r="AQ171" s="405" t="s">
        <v>387</v>
      </c>
      <c r="AR171" s="405" t="s">
        <v>388</v>
      </c>
    </row>
    <row r="172" spans="40:44" ht="33">
      <c r="AN172" s="405">
        <v>168</v>
      </c>
      <c r="AQ172" s="405" t="s">
        <v>389</v>
      </c>
      <c r="AR172" s="405" t="s">
        <v>390</v>
      </c>
    </row>
    <row r="173" spans="40:44" ht="33">
      <c r="AN173" s="405">
        <v>169</v>
      </c>
      <c r="AQ173" s="405" t="s">
        <v>391</v>
      </c>
      <c r="AR173" s="405" t="s">
        <v>392</v>
      </c>
    </row>
    <row r="174" spans="40:44" ht="33">
      <c r="AN174" s="405">
        <v>170</v>
      </c>
      <c r="AQ174" s="405" t="s">
        <v>393</v>
      </c>
      <c r="AR174" s="405" t="s">
        <v>394</v>
      </c>
    </row>
    <row r="175" spans="40:44" ht="33">
      <c r="AN175" s="405">
        <v>171</v>
      </c>
      <c r="AQ175" s="405" t="s">
        <v>395</v>
      </c>
      <c r="AR175" s="405" t="s">
        <v>396</v>
      </c>
    </row>
    <row r="176" spans="40:44" ht="33">
      <c r="AN176" s="405">
        <v>172</v>
      </c>
      <c r="AQ176" s="405" t="s">
        <v>397</v>
      </c>
      <c r="AR176" s="405" t="s">
        <v>398</v>
      </c>
    </row>
    <row r="177" spans="40:44" ht="33">
      <c r="AN177" s="405">
        <v>173</v>
      </c>
      <c r="AQ177" s="405" t="s">
        <v>399</v>
      </c>
      <c r="AR177" s="405" t="s">
        <v>400</v>
      </c>
    </row>
    <row r="178" spans="40:44" ht="33">
      <c r="AN178" s="405">
        <v>174</v>
      </c>
      <c r="AQ178" s="405" t="s">
        <v>401</v>
      </c>
      <c r="AR178" s="405" t="s">
        <v>402</v>
      </c>
    </row>
    <row r="179" spans="40:44" ht="33">
      <c r="AN179" s="405">
        <v>175</v>
      </c>
      <c r="AQ179" s="405" t="s">
        <v>403</v>
      </c>
      <c r="AR179" s="405" t="s">
        <v>404</v>
      </c>
    </row>
    <row r="180" spans="40:44" ht="33">
      <c r="AN180" s="405">
        <v>176</v>
      </c>
      <c r="AQ180" s="405" t="s">
        <v>405</v>
      </c>
      <c r="AR180" s="405" t="s">
        <v>406</v>
      </c>
    </row>
    <row r="181" spans="40:44" ht="33">
      <c r="AN181" s="405">
        <v>177</v>
      </c>
      <c r="AQ181" s="405" t="s">
        <v>407</v>
      </c>
      <c r="AR181" s="405" t="s">
        <v>408</v>
      </c>
    </row>
    <row r="182" spans="40:44" ht="33">
      <c r="AN182" s="405">
        <v>178</v>
      </c>
      <c r="AQ182" s="405" t="s">
        <v>409</v>
      </c>
      <c r="AR182" s="405" t="s">
        <v>410</v>
      </c>
    </row>
    <row r="183" spans="40:44" ht="33">
      <c r="AN183" s="405">
        <v>179</v>
      </c>
      <c r="AQ183" s="405" t="s">
        <v>411</v>
      </c>
      <c r="AR183" s="405" t="s">
        <v>412</v>
      </c>
    </row>
    <row r="184" spans="40:44" ht="33">
      <c r="AN184" s="405">
        <v>180</v>
      </c>
      <c r="AQ184" s="405" t="s">
        <v>413</v>
      </c>
      <c r="AR184" s="405" t="s">
        <v>414</v>
      </c>
    </row>
    <row r="185" spans="40:44" ht="33">
      <c r="AN185" s="405">
        <v>181</v>
      </c>
      <c r="AQ185" s="405" t="s">
        <v>415</v>
      </c>
      <c r="AR185" s="405" t="s">
        <v>416</v>
      </c>
    </row>
    <row r="186" spans="40:44" ht="33">
      <c r="AN186" s="405">
        <v>182</v>
      </c>
      <c r="AQ186" s="405" t="s">
        <v>417</v>
      </c>
      <c r="AR186" s="405" t="s">
        <v>418</v>
      </c>
    </row>
    <row r="187" spans="40:44" ht="33">
      <c r="AN187" s="405">
        <v>183</v>
      </c>
      <c r="AQ187" s="405" t="s">
        <v>419</v>
      </c>
      <c r="AR187" s="405" t="s">
        <v>420</v>
      </c>
    </row>
    <row r="188" spans="40:44" ht="33">
      <c r="AN188" s="405">
        <v>184</v>
      </c>
      <c r="AQ188" s="405" t="s">
        <v>421</v>
      </c>
      <c r="AR188" s="405" t="s">
        <v>422</v>
      </c>
    </row>
    <row r="189" spans="40:44" ht="33">
      <c r="AN189" s="405">
        <v>185</v>
      </c>
      <c r="AQ189" s="405" t="s">
        <v>423</v>
      </c>
      <c r="AR189" s="405" t="s">
        <v>424</v>
      </c>
    </row>
    <row r="190" spans="40:44" ht="33">
      <c r="AN190" s="405">
        <v>186</v>
      </c>
      <c r="AQ190" s="405" t="s">
        <v>425</v>
      </c>
      <c r="AR190" s="405" t="s">
        <v>426</v>
      </c>
    </row>
    <row r="191" spans="40:44" ht="33">
      <c r="AN191" s="405">
        <v>187</v>
      </c>
      <c r="AQ191" s="405" t="s">
        <v>427</v>
      </c>
      <c r="AR191" s="405" t="s">
        <v>428</v>
      </c>
    </row>
    <row r="192" spans="40:44" ht="33">
      <c r="AN192" s="405">
        <v>188</v>
      </c>
      <c r="AQ192" s="405" t="s">
        <v>429</v>
      </c>
      <c r="AR192" s="405" t="s">
        <v>430</v>
      </c>
    </row>
    <row r="193" spans="40:44" ht="33">
      <c r="AN193" s="405">
        <v>189</v>
      </c>
      <c r="AQ193" s="405" t="s">
        <v>431</v>
      </c>
      <c r="AR193" s="405" t="s">
        <v>432</v>
      </c>
    </row>
    <row r="194" spans="40:44" ht="33">
      <c r="AN194" s="405">
        <v>190</v>
      </c>
      <c r="AQ194" s="405" t="s">
        <v>433</v>
      </c>
      <c r="AR194" s="405" t="s">
        <v>434</v>
      </c>
    </row>
    <row r="195" spans="40:44" ht="33">
      <c r="AN195" s="405">
        <v>191</v>
      </c>
      <c r="AQ195" s="405" t="s">
        <v>435</v>
      </c>
      <c r="AR195" s="405" t="s">
        <v>436</v>
      </c>
    </row>
    <row r="196" spans="40:44" ht="33">
      <c r="AN196" s="405">
        <v>192</v>
      </c>
      <c r="AQ196" s="405" t="s">
        <v>437</v>
      </c>
      <c r="AR196" s="405" t="s">
        <v>438</v>
      </c>
    </row>
    <row r="197" spans="40:44" ht="33">
      <c r="AN197" s="405">
        <v>193</v>
      </c>
      <c r="AQ197" s="405" t="s">
        <v>439</v>
      </c>
      <c r="AR197" s="405" t="s">
        <v>440</v>
      </c>
    </row>
    <row r="198" spans="40:44" ht="33">
      <c r="AN198" s="405">
        <v>194</v>
      </c>
      <c r="AQ198" s="405" t="s">
        <v>441</v>
      </c>
      <c r="AR198" s="405" t="s">
        <v>442</v>
      </c>
    </row>
    <row r="199" spans="40:44" ht="33">
      <c r="AN199" s="405">
        <v>195</v>
      </c>
      <c r="AQ199" s="405" t="s">
        <v>443</v>
      </c>
      <c r="AR199" s="405" t="s">
        <v>444</v>
      </c>
    </row>
    <row r="200" spans="40:44" ht="33">
      <c r="AN200" s="405">
        <v>196</v>
      </c>
      <c r="AQ200" s="405" t="s">
        <v>445</v>
      </c>
      <c r="AR200" s="405" t="s">
        <v>446</v>
      </c>
    </row>
    <row r="201" spans="40:44" ht="33">
      <c r="AN201" s="405">
        <v>197</v>
      </c>
      <c r="AQ201" s="405" t="s">
        <v>447</v>
      </c>
      <c r="AR201" s="405" t="s">
        <v>448</v>
      </c>
    </row>
  </sheetData>
  <sheetProtection algorithmName="SHA-512" hashValue="08baUbFboptAtaWSxPzDzNU07zWtsrGC+VqaNQaS5dh+9oiiNwkKwjn5eBwNGFH6/AnGv+ku7biohnp9jIk/Yg==" saltValue="ThgP58TAs63jDYGsPGAV6A==" spinCount="100000" sheet="1" objects="1" scenarios="1"/>
  <mergeCells count="172">
    <mergeCell ref="B21:B27"/>
    <mergeCell ref="B28:B31"/>
    <mergeCell ref="C52:H52"/>
    <mergeCell ref="I52:N52"/>
    <mergeCell ref="P52:AB52"/>
    <mergeCell ref="P51:AB51"/>
    <mergeCell ref="I51:N51"/>
    <mergeCell ref="C51:H51"/>
    <mergeCell ref="C50:H50"/>
    <mergeCell ref="I50:N50"/>
    <mergeCell ref="P50:AB50"/>
    <mergeCell ref="D33:E33"/>
    <mergeCell ref="G33:AB33"/>
    <mergeCell ref="C35:AB35"/>
    <mergeCell ref="D37:E37"/>
    <mergeCell ref="G37:AB37"/>
    <mergeCell ref="C39:H39"/>
    <mergeCell ref="I39:N39"/>
    <mergeCell ref="P39:AB39"/>
    <mergeCell ref="C43:H43"/>
    <mergeCell ref="I43:N43"/>
    <mergeCell ref="P43:AB43"/>
    <mergeCell ref="C44:H44"/>
    <mergeCell ref="I44:N44"/>
    <mergeCell ref="AJ3:AJ5"/>
    <mergeCell ref="H4:N4"/>
    <mergeCell ref="H5:N5"/>
    <mergeCell ref="C6:G6"/>
    <mergeCell ref="H6:N6"/>
    <mergeCell ref="P6:AB6"/>
    <mergeCell ref="C1:AB1"/>
    <mergeCell ref="C2:G2"/>
    <mergeCell ref="H2:N2"/>
    <mergeCell ref="P2:AB2"/>
    <mergeCell ref="C3:G5"/>
    <mergeCell ref="H3:N3"/>
    <mergeCell ref="O3:O5"/>
    <mergeCell ref="P3:AB5"/>
    <mergeCell ref="C9:G9"/>
    <mergeCell ref="H9:N9"/>
    <mergeCell ref="P9:AB9"/>
    <mergeCell ref="C10:G10"/>
    <mergeCell ref="H10:N10"/>
    <mergeCell ref="P10:AB10"/>
    <mergeCell ref="C7:G7"/>
    <mergeCell ref="H7:N7"/>
    <mergeCell ref="P7:AB7"/>
    <mergeCell ref="C8:G8"/>
    <mergeCell ref="H8:N8"/>
    <mergeCell ref="P8:AB8"/>
    <mergeCell ref="C14:G14"/>
    <mergeCell ref="P14:AB14"/>
    <mergeCell ref="C15:G15"/>
    <mergeCell ref="H15:N15"/>
    <mergeCell ref="P15:AB15"/>
    <mergeCell ref="C16:G16"/>
    <mergeCell ref="H16:N16"/>
    <mergeCell ref="P16:AB16"/>
    <mergeCell ref="C11:G11"/>
    <mergeCell ref="H11:N11"/>
    <mergeCell ref="P11:AB11"/>
    <mergeCell ref="C12:G13"/>
    <mergeCell ref="H12:J12"/>
    <mergeCell ref="M12:N12"/>
    <mergeCell ref="P12:AB12"/>
    <mergeCell ref="H13:J13"/>
    <mergeCell ref="P13:AB13"/>
    <mergeCell ref="AJ29:AJ31"/>
    <mergeCell ref="H30:N30"/>
    <mergeCell ref="H31:N31"/>
    <mergeCell ref="C21:G21"/>
    <mergeCell ref="P21:AB21"/>
    <mergeCell ref="C28:G28"/>
    <mergeCell ref="H28:N28"/>
    <mergeCell ref="P28:AB28"/>
    <mergeCell ref="C25:G25"/>
    <mergeCell ref="I25:N25"/>
    <mergeCell ref="P25:AB25"/>
    <mergeCell ref="C26:G26"/>
    <mergeCell ref="P26:AB26"/>
    <mergeCell ref="C27:G27"/>
    <mergeCell ref="H27:N27"/>
    <mergeCell ref="P27:AB27"/>
    <mergeCell ref="C29:G31"/>
    <mergeCell ref="H29:N29"/>
    <mergeCell ref="O29:O31"/>
    <mergeCell ref="P29:AB31"/>
    <mergeCell ref="P44:AB44"/>
    <mergeCell ref="C40:H40"/>
    <mergeCell ref="I40:N40"/>
    <mergeCell ref="P40:AB40"/>
    <mergeCell ref="C42:H42"/>
    <mergeCell ref="I42:N42"/>
    <mergeCell ref="P42:AB42"/>
    <mergeCell ref="C41:H41"/>
    <mergeCell ref="I41:N41"/>
    <mergeCell ref="P41:AB41"/>
    <mergeCell ref="C47:H47"/>
    <mergeCell ref="I47:N47"/>
    <mergeCell ref="P47:AB47"/>
    <mergeCell ref="C48:H48"/>
    <mergeCell ref="I48:N48"/>
    <mergeCell ref="P48:AB48"/>
    <mergeCell ref="C45:H45"/>
    <mergeCell ref="I45:N45"/>
    <mergeCell ref="P45:AB45"/>
    <mergeCell ref="C46:H46"/>
    <mergeCell ref="I46:N46"/>
    <mergeCell ref="P46:AB46"/>
    <mergeCell ref="C55:H55"/>
    <mergeCell ref="I55:N55"/>
    <mergeCell ref="P55:AB55"/>
    <mergeCell ref="C56:H56"/>
    <mergeCell ref="I56:N56"/>
    <mergeCell ref="P56:AB56"/>
    <mergeCell ref="C49:H49"/>
    <mergeCell ref="I49:N49"/>
    <mergeCell ref="P49:AB49"/>
    <mergeCell ref="C53:H53"/>
    <mergeCell ref="I53:N53"/>
    <mergeCell ref="P53:AB53"/>
    <mergeCell ref="C54:H54"/>
    <mergeCell ref="I54:N54"/>
    <mergeCell ref="P54:AB54"/>
    <mergeCell ref="C59:H59"/>
    <mergeCell ref="I59:N59"/>
    <mergeCell ref="P59:AB59"/>
    <mergeCell ref="C60:H60"/>
    <mergeCell ref="I60:N60"/>
    <mergeCell ref="P60:AB60"/>
    <mergeCell ref="C57:H57"/>
    <mergeCell ref="I57:N57"/>
    <mergeCell ref="P57:AB57"/>
    <mergeCell ref="C58:H58"/>
    <mergeCell ref="I58:N58"/>
    <mergeCell ref="P58:AB58"/>
    <mergeCell ref="C64:H64"/>
    <mergeCell ref="I64:N64"/>
    <mergeCell ref="P64:AB64"/>
    <mergeCell ref="C65:H65"/>
    <mergeCell ref="I65:N65"/>
    <mergeCell ref="P65:AB65"/>
    <mergeCell ref="C61:H61"/>
    <mergeCell ref="I61:N61"/>
    <mergeCell ref="P61:AB61"/>
    <mergeCell ref="C63:H63"/>
    <mergeCell ref="I63:N63"/>
    <mergeCell ref="P63:AB63"/>
    <mergeCell ref="B3:B20"/>
    <mergeCell ref="L21:N21"/>
    <mergeCell ref="C22:G22"/>
    <mergeCell ref="H22:N22"/>
    <mergeCell ref="P22:AB22"/>
    <mergeCell ref="C23:G23"/>
    <mergeCell ref="K23:N23"/>
    <mergeCell ref="P23:AB23"/>
    <mergeCell ref="C24:G24"/>
    <mergeCell ref="H24:N24"/>
    <mergeCell ref="P24:AB24"/>
    <mergeCell ref="C19:G19"/>
    <mergeCell ref="H19:N19"/>
    <mergeCell ref="P19:AB19"/>
    <mergeCell ref="C20:G20"/>
    <mergeCell ref="H20:K20"/>
    <mergeCell ref="L20:M20"/>
    <mergeCell ref="P20:AB20"/>
    <mergeCell ref="C17:G17"/>
    <mergeCell ref="H17:N17"/>
    <mergeCell ref="P17:AB17"/>
    <mergeCell ref="C18:G18"/>
    <mergeCell ref="H18:N18"/>
    <mergeCell ref="P18:AB18"/>
  </mergeCells>
  <phoneticPr fontId="5"/>
  <conditionalFormatting sqref="O3:O11 O14:O20 O32 O28:O29">
    <cfRule type="containsText" dxfId="114" priority="16" operator="containsText" text="×">
      <formula>NOT(ISERROR(SEARCH("×",O3)))</formula>
    </cfRule>
    <cfRule type="containsText" dxfId="113" priority="18" operator="containsText" text="×">
      <formula>NOT(ISERROR(SEARCH("×",O3)))</formula>
    </cfRule>
  </conditionalFormatting>
  <conditionalFormatting sqref="P15 P3:W11 P16:W19 P32:W32 P14:W14 P20 P28:P29">
    <cfRule type="containsText" dxfId="112" priority="17" operator="containsText" text="要修正">
      <formula>NOT(ISERROR(SEARCH("要修正",P3)))</formula>
    </cfRule>
  </conditionalFormatting>
  <conditionalFormatting sqref="F33 O63:O65 O40:O61">
    <cfRule type="containsText" dxfId="111" priority="15" operator="containsText" text="×">
      <formula>NOT(ISERROR(SEARCH("×",F33)))</formula>
    </cfRule>
  </conditionalFormatting>
  <conditionalFormatting sqref="G33:AB33">
    <cfRule type="containsText" dxfId="110" priority="14" operator="containsText" text="要修正">
      <formula>NOT(ISERROR(SEARCH("要修正",G33)))</formula>
    </cfRule>
  </conditionalFormatting>
  <conditionalFormatting sqref="P63:AB65 P40:AB40 P41 P42:AB61">
    <cfRule type="containsText" dxfId="109" priority="12" operator="containsText" text="要修正">
      <formula>NOT(ISERROR(SEARCH("要修正",P40)))</formula>
    </cfRule>
    <cfRule type="cellIs" dxfId="108" priority="13" operator="equal">
      <formula>"要修正"</formula>
    </cfRule>
  </conditionalFormatting>
  <conditionalFormatting sqref="F37">
    <cfRule type="containsText" dxfId="107" priority="11" operator="containsText" text="×">
      <formula>NOT(ISERROR(SEARCH("×",F37)))</formula>
    </cfRule>
  </conditionalFormatting>
  <conditionalFormatting sqref="G37:AB37">
    <cfRule type="containsText" dxfId="106" priority="10" operator="containsText" text="要修正">
      <formula>NOT(ISERROR(SEARCH("要修正",G37)))</formula>
    </cfRule>
  </conditionalFormatting>
  <conditionalFormatting sqref="O12:O13">
    <cfRule type="containsText" dxfId="105" priority="7" operator="containsText" text="×">
      <formula>NOT(ISERROR(SEARCH("×",O12)))</formula>
    </cfRule>
    <cfRule type="containsText" dxfId="104" priority="9" operator="containsText" text="×">
      <formula>NOT(ISERROR(SEARCH("×",O12)))</formula>
    </cfRule>
  </conditionalFormatting>
  <conditionalFormatting sqref="P12:W13">
    <cfRule type="containsText" dxfId="103" priority="8" operator="containsText" text="要修正">
      <formula>NOT(ISERROR(SEARCH("要修正",P12)))</formula>
    </cfRule>
  </conditionalFormatting>
  <conditionalFormatting sqref="O46:O61">
    <cfRule type="containsText" dxfId="102" priority="6" operator="containsText" text="×">
      <formula>NOT(ISERROR(SEARCH("×",O46)))</formula>
    </cfRule>
  </conditionalFormatting>
  <conditionalFormatting sqref="P46:AB61">
    <cfRule type="containsText" dxfId="101" priority="5" operator="containsText" text="要修正">
      <formula>NOT(ISERROR(SEARCH("要修正",P46)))</formula>
    </cfRule>
  </conditionalFormatting>
  <conditionalFormatting sqref="O21:O27">
    <cfRule type="containsText" dxfId="100" priority="2" operator="containsText" text="×">
      <formula>NOT(ISERROR(SEARCH("×",O21)))</formula>
    </cfRule>
    <cfRule type="containsText" dxfId="99" priority="4" operator="containsText" text="×">
      <formula>NOT(ISERROR(SEARCH("×",O21)))</formula>
    </cfRule>
  </conditionalFormatting>
  <conditionalFormatting sqref="P21:P27">
    <cfRule type="containsText" dxfId="98" priority="3" operator="containsText" text="要修正">
      <formula>NOT(ISERROR(SEARCH("要修正",P21)))</formula>
    </cfRule>
  </conditionalFormatting>
  <conditionalFormatting sqref="P28:AB28">
    <cfRule type="containsText" dxfId="97" priority="1" operator="containsText" text="「申立てする」を選択して">
      <formula>NOT(ISERROR(SEARCH("「申立てする」を選択して",P28)))</formula>
    </cfRule>
  </conditionalFormatting>
  <dataValidations count="2">
    <dataValidation type="list" allowBlank="1" showInputMessage="1" showErrorMessage="1" sqref="H28:N28" xr:uid="{00000000-0002-0000-0300-000000000000}">
      <formula1>$AL$18:$AL$19</formula1>
    </dataValidation>
    <dataValidation type="textLength" imeMode="halfKatakana" allowBlank="1" showInputMessage="1" showErrorMessage="1" errorTitle="入力した字数が多すぎます" error="振込先口座のｶﾅ名義は30字以内で入力してください。" sqref="H27:N27" xr:uid="{00000000-0002-0000-0300-000001000000}">
      <formula1>1</formula1>
      <formula2>30</formula2>
    </dataValidation>
  </dataValidations>
  <pageMargins left="0.7" right="0.7" top="0.75" bottom="0.75" header="0.3" footer="0.3"/>
  <pageSetup paperSize="9"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88900</xdr:colOff>
                    <xdr:row>2</xdr:row>
                    <xdr:rowOff>31750</xdr:rowOff>
                  </from>
                  <to>
                    <xdr:col>7</xdr:col>
                    <xdr:colOff>304800</xdr:colOff>
                    <xdr:row>2</xdr:row>
                    <xdr:rowOff>336550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88900</xdr:colOff>
                    <xdr:row>3</xdr:row>
                    <xdr:rowOff>50800</xdr:rowOff>
                  </from>
                  <to>
                    <xdr:col>7</xdr:col>
                    <xdr:colOff>355600</xdr:colOff>
                    <xdr:row>3</xdr:row>
                    <xdr:rowOff>336550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7</xdr:col>
                    <xdr:colOff>88900</xdr:colOff>
                    <xdr:row>4</xdr:row>
                    <xdr:rowOff>19050</xdr:rowOff>
                  </from>
                  <to>
                    <xdr:col>7</xdr:col>
                    <xdr:colOff>431800</xdr:colOff>
                    <xdr:row>4</xdr:row>
                    <xdr:rowOff>361950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146050</xdr:colOff>
                    <xdr:row>28</xdr:row>
                    <xdr:rowOff>19050</xdr:rowOff>
                  </from>
                  <to>
                    <xdr:col>8</xdr:col>
                    <xdr:colOff>355600</xdr:colOff>
                    <xdr:row>28</xdr:row>
                    <xdr:rowOff>355600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146050</xdr:colOff>
                    <xdr:row>28</xdr:row>
                    <xdr:rowOff>361950</xdr:rowOff>
                  </from>
                  <to>
                    <xdr:col>8</xdr:col>
                    <xdr:colOff>355600</xdr:colOff>
                    <xdr:row>29</xdr:row>
                    <xdr:rowOff>361950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146050</xdr:colOff>
                    <xdr:row>29</xdr:row>
                    <xdr:rowOff>361950</xdr:rowOff>
                  </from>
                  <to>
                    <xdr:col>8</xdr:col>
                    <xdr:colOff>355600</xdr:colOff>
                    <xdr:row>30</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リスト!$A$3:$A$70</xm:f>
          </x14:formula1>
          <xm:sqref>L20:M20</xm:sqref>
        </x14:dataValidation>
        <x14:dataValidation type="list" allowBlank="1" showInputMessage="1" showErrorMessage="1" xr:uid="{00000000-0002-0000-0300-000003000000}">
          <x14:formula1>
            <xm:f>テーブル!$C$19:$C$20</xm:f>
          </x14:formula1>
          <xm:sqref>H25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5" tint="-0.249977111117893"/>
    <pageSetUpPr fitToPage="1"/>
  </sheetPr>
  <dimension ref="A1:AP56"/>
  <sheetViews>
    <sheetView showGridLines="0" view="pageBreakPreview" zoomScale="70" zoomScaleNormal="100" zoomScaleSheetLayoutView="70" workbookViewId="0">
      <pane ySplit="1" topLeftCell="A5" activePane="bottomLeft" state="frozen"/>
      <selection activeCell="C20" sqref="C20:AI20"/>
      <selection pane="bottomLeft" activeCell="C20" sqref="C20:AI20"/>
    </sheetView>
  </sheetViews>
  <sheetFormatPr defaultColWidth="8.58203125" defaultRowHeight="20"/>
  <cols>
    <col min="1" max="36" width="3.58203125" style="2" customWidth="1"/>
    <col min="37" max="38" width="8.58203125" style="2"/>
    <col min="39" max="39" width="4.58203125" style="402" customWidth="1"/>
    <col min="40" max="41" width="10.58203125" style="402" customWidth="1"/>
    <col min="42" max="42" width="4.58203125" style="402" customWidth="1"/>
    <col min="43" max="16384" width="8.58203125" style="2"/>
  </cols>
  <sheetData>
    <row r="1" spans="1:4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2" ht="25" customHeight="1">
      <c r="A2" s="1"/>
      <c r="B2" s="1"/>
      <c r="C2" s="1"/>
      <c r="D2" s="1"/>
      <c r="E2" s="1"/>
      <c r="F2" s="1"/>
      <c r="G2" s="1"/>
      <c r="H2" s="1"/>
      <c r="I2" s="1"/>
      <c r="J2" s="1"/>
      <c r="K2" s="1"/>
      <c r="L2" s="1"/>
      <c r="M2" s="1"/>
      <c r="N2" s="1"/>
      <c r="O2" s="1"/>
      <c r="P2" s="1"/>
      <c r="Q2" s="1"/>
      <c r="R2" s="1"/>
      <c r="S2" s="1"/>
      <c r="T2" s="1"/>
      <c r="U2" s="1"/>
      <c r="V2" s="1"/>
      <c r="W2" s="1"/>
      <c r="X2" s="1"/>
      <c r="Y2" s="1"/>
      <c r="Z2" s="1"/>
      <c r="AA2" s="1"/>
      <c r="AB2" s="1"/>
      <c r="AC2" s="591" t="str">
        <f>IF(はじめに入力してください!H15="","",はじめに入力してください!H15)</f>
        <v/>
      </c>
      <c r="AD2" s="592"/>
      <c r="AE2" s="592"/>
      <c r="AF2" s="592"/>
      <c r="AG2" s="592"/>
      <c r="AH2" s="592"/>
      <c r="AI2" s="592"/>
    </row>
    <row r="3" spans="1:42" ht="25" customHeight="1">
      <c r="AC3" s="593" t="str">
        <f>IF(COUNTA(はじめに入力してください!I14,はじめに入力してください!K14,はじめに入力してください!M14)&lt;&gt;3,"令和４年　　月　　日",IF(COUNTA(はじめに入力してください!I14,はじめに入力してください!K14,はじめに入力してください!M14)=3,"令和"&amp;はじめに入力してください!I14&amp;"年"&amp;はじめに入力してください!K14&amp;"月"&amp;はじめに入力してください!M14&amp;"日"))</f>
        <v>令和４年　　月　　日</v>
      </c>
      <c r="AD3" s="594"/>
      <c r="AE3" s="594"/>
      <c r="AF3" s="594"/>
      <c r="AG3" s="594"/>
      <c r="AH3" s="594"/>
      <c r="AI3" s="594"/>
    </row>
    <row r="4" spans="1:42" ht="25" customHeight="1">
      <c r="B4" s="589" t="s">
        <v>2</v>
      </c>
      <c r="C4" s="590"/>
      <c r="D4" s="590"/>
      <c r="E4" s="590"/>
      <c r="F4" s="590"/>
      <c r="G4" s="590"/>
      <c r="H4" s="590"/>
      <c r="I4" s="590"/>
      <c r="J4" s="590"/>
      <c r="AM4" s="602"/>
      <c r="AN4" s="602"/>
      <c r="AO4" s="602"/>
      <c r="AP4" s="2"/>
    </row>
    <row r="5" spans="1:42" ht="25" customHeight="1">
      <c r="AM5" s="323"/>
      <c r="AN5" s="403"/>
      <c r="AO5" s="602"/>
      <c r="AP5" s="323"/>
    </row>
    <row r="6" spans="1:42" ht="25" customHeight="1">
      <c r="U6" s="593" t="s">
        <v>5</v>
      </c>
      <c r="V6" s="594"/>
      <c r="W6" s="594"/>
      <c r="X6" s="594"/>
      <c r="Z6" s="595" t="str">
        <f>IF(はじめに入力してください!H9="","",はじめに入力してください!H9)</f>
        <v/>
      </c>
      <c r="AA6" s="596"/>
      <c r="AB6" s="596"/>
      <c r="AC6" s="596"/>
      <c r="AD6" s="596"/>
      <c r="AE6" s="596"/>
      <c r="AF6" s="596"/>
      <c r="AG6" s="596"/>
      <c r="AH6" s="596"/>
      <c r="AI6" s="596"/>
      <c r="AJ6" s="596"/>
      <c r="AM6" s="327"/>
      <c r="AN6" s="327"/>
      <c r="AO6" s="327"/>
      <c r="AP6" s="327"/>
    </row>
    <row r="7" spans="1:42" ht="25" customHeight="1">
      <c r="U7" s="593" t="s">
        <v>3</v>
      </c>
      <c r="V7" s="594"/>
      <c r="W7" s="594"/>
      <c r="X7" s="594"/>
      <c r="Z7" s="595" t="str">
        <f>IF(はじめに入力してください!H6="","",はじめに入力してください!H6)</f>
        <v/>
      </c>
      <c r="AA7" s="596"/>
      <c r="AB7" s="596"/>
      <c r="AC7" s="596"/>
      <c r="AD7" s="596"/>
      <c r="AE7" s="596"/>
      <c r="AF7" s="596"/>
      <c r="AG7" s="596"/>
      <c r="AH7" s="596"/>
      <c r="AI7" s="596"/>
      <c r="AJ7" s="596"/>
    </row>
    <row r="8" spans="1:42" ht="25" customHeight="1">
      <c r="U8" s="593" t="s">
        <v>4</v>
      </c>
      <c r="V8" s="594"/>
      <c r="W8" s="594"/>
      <c r="X8" s="594"/>
      <c r="Z8" s="595" t="str">
        <f>IF(はじめに入力してください!H7="","",はじめに入力してください!H7)&amp;"　"&amp;IF(はじめに入力してください!H8="","",はじめに入力してください!H8)</f>
        <v>　</v>
      </c>
      <c r="AA8" s="596"/>
      <c r="AB8" s="596"/>
      <c r="AC8" s="596"/>
      <c r="AD8" s="596"/>
      <c r="AE8" s="596"/>
      <c r="AF8" s="596"/>
      <c r="AG8" s="596"/>
      <c r="AH8" s="596"/>
      <c r="AI8" s="596"/>
      <c r="AJ8" s="596"/>
    </row>
    <row r="9" spans="1:42" ht="25" customHeight="1">
      <c r="U9" s="3"/>
      <c r="V9" s="4"/>
      <c r="W9" s="4"/>
      <c r="X9" s="4"/>
      <c r="Z9" s="5"/>
      <c r="AA9" s="6"/>
      <c r="AB9" s="6"/>
      <c r="AC9" s="6"/>
      <c r="AD9" s="6"/>
      <c r="AE9" s="6"/>
      <c r="AF9" s="6"/>
      <c r="AG9" s="6"/>
      <c r="AH9" s="6"/>
      <c r="AI9" s="6"/>
      <c r="AJ9" s="6"/>
    </row>
    <row r="10" spans="1:42" ht="25" customHeight="1">
      <c r="N10" s="600" t="s">
        <v>0</v>
      </c>
      <c r="O10" s="600"/>
      <c r="P10" s="600"/>
      <c r="Q10" s="600"/>
      <c r="R10" s="600"/>
      <c r="S10" s="600"/>
      <c r="T10" s="600"/>
      <c r="U10" s="600"/>
      <c r="V10" s="600"/>
      <c r="W10" s="600"/>
    </row>
    <row r="11" spans="1:42" ht="2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42" ht="25" customHeight="1">
      <c r="A12" s="601" t="s">
        <v>1</v>
      </c>
      <c r="B12" s="601"/>
      <c r="C12" s="601"/>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c r="AG12" s="601"/>
      <c r="AH12" s="601"/>
      <c r="AI12" s="601"/>
      <c r="AJ12" s="601"/>
    </row>
    <row r="13" spans="1:42" ht="25" customHeight="1">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row>
    <row r="14" spans="1:42" ht="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42" ht="20.149999999999999" customHeight="1">
      <c r="A15" s="2" t="s">
        <v>6</v>
      </c>
    </row>
    <row r="16" spans="1:42" ht="80.150000000000006" customHeight="1">
      <c r="A16" s="595" t="s">
        <v>820</v>
      </c>
      <c r="B16" s="607"/>
      <c r="C16" s="607"/>
      <c r="D16" s="607"/>
      <c r="E16" s="607"/>
      <c r="F16" s="607"/>
      <c r="G16" s="607"/>
      <c r="H16" s="607"/>
      <c r="I16" s="607"/>
      <c r="J16" s="607"/>
      <c r="K16" s="607"/>
      <c r="L16" s="607"/>
      <c r="M16" s="607"/>
      <c r="N16" s="607"/>
      <c r="O16" s="607"/>
      <c r="P16" s="607"/>
      <c r="Q16" s="607"/>
      <c r="R16" s="607"/>
      <c r="S16" s="607"/>
      <c r="T16" s="607"/>
      <c r="U16" s="607"/>
      <c r="V16" s="607"/>
      <c r="W16" s="607"/>
      <c r="X16" s="607"/>
      <c r="Y16" s="607"/>
      <c r="Z16" s="607"/>
      <c r="AA16" s="607"/>
      <c r="AB16" s="607"/>
      <c r="AC16" s="607"/>
      <c r="AD16" s="607"/>
      <c r="AE16" s="607"/>
      <c r="AF16" s="607"/>
      <c r="AG16" s="607"/>
      <c r="AH16" s="607"/>
      <c r="AI16" s="607"/>
      <c r="AJ16" s="607"/>
    </row>
    <row r="17" spans="1:36" ht="40" customHeight="1">
      <c r="A17" s="595" t="s">
        <v>532</v>
      </c>
      <c r="B17" s="608"/>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8"/>
    </row>
    <row r="18" spans="1:36" ht="25" customHeight="1"/>
    <row r="19" spans="1:36" ht="25" customHeight="1">
      <c r="B19" s="2" t="s">
        <v>7</v>
      </c>
    </row>
    <row r="20" spans="1:36" ht="25" customHeight="1">
      <c r="C20" s="591" t="str">
        <f>IF(はじめに入力してください!H10="","",はじめに入力してください!H10)</f>
        <v/>
      </c>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row>
    <row r="21" spans="1:36" ht="25" customHeight="1">
      <c r="C21" s="591" t="str">
        <f>IF(はじめに入力してください!H11="","",はじめに入力してください!H11)</f>
        <v/>
      </c>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row>
    <row r="22" spans="1:36" ht="10" customHeight="1">
      <c r="C22" s="31"/>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6" ht="25" customHeight="1">
      <c r="B23" s="2" t="s">
        <v>8</v>
      </c>
    </row>
    <row r="24" spans="1:36" ht="25" customHeight="1">
      <c r="C24" s="597" t="str">
        <f>IF(別紙１!U24=0,"金円",別紙１!U24)</f>
        <v>金円</v>
      </c>
      <c r="D24" s="598"/>
      <c r="E24" s="598"/>
      <c r="F24" s="598"/>
      <c r="G24" s="598"/>
      <c r="H24" s="598"/>
      <c r="I24" s="598"/>
    </row>
    <row r="25" spans="1:36" ht="10" customHeight="1">
      <c r="C25" s="29"/>
      <c r="D25" s="30"/>
      <c r="E25" s="30"/>
      <c r="F25" s="30"/>
      <c r="G25" s="30"/>
      <c r="H25" s="30"/>
      <c r="I25" s="30"/>
    </row>
    <row r="26" spans="1:36" ht="25" customHeight="1">
      <c r="B26" s="2" t="s">
        <v>9</v>
      </c>
    </row>
    <row r="27" spans="1:36" ht="25" customHeight="1">
      <c r="B27" s="2" t="s">
        <v>10</v>
      </c>
    </row>
    <row r="28" spans="1:36" ht="25" customHeight="1">
      <c r="B28" s="2" t="s">
        <v>59</v>
      </c>
    </row>
    <row r="29" spans="1:36" ht="25" customHeight="1">
      <c r="B29" s="2" t="s">
        <v>535</v>
      </c>
    </row>
    <row r="30" spans="1:36" ht="25" customHeight="1">
      <c r="B30" s="2" t="s">
        <v>537</v>
      </c>
    </row>
    <row r="31" spans="1:36" ht="25" customHeight="1">
      <c r="B31" s="2" t="s">
        <v>58</v>
      </c>
    </row>
    <row r="32" spans="1:36" ht="25" customHeight="1"/>
    <row r="33" spans="1:42" ht="25" customHeight="1">
      <c r="U33" s="593" t="s">
        <v>11</v>
      </c>
      <c r="V33" s="599"/>
      <c r="W33" s="599"/>
      <c r="X33" s="599"/>
      <c r="Z33" s="591" t="str">
        <f>IF(はじめに入力してください!H16="","",はじめに入力してください!H16)</f>
        <v/>
      </c>
      <c r="AA33" s="592"/>
      <c r="AB33" s="592"/>
      <c r="AC33" s="592"/>
      <c r="AD33" s="592"/>
      <c r="AE33" s="592"/>
      <c r="AF33" s="592"/>
      <c r="AG33" s="592"/>
      <c r="AH33" s="592"/>
      <c r="AI33" s="592"/>
    </row>
    <row r="34" spans="1:42" ht="25" customHeight="1">
      <c r="U34" s="593" t="s">
        <v>12</v>
      </c>
      <c r="V34" s="599"/>
      <c r="W34" s="599"/>
      <c r="X34" s="599"/>
      <c r="Z34" s="591" t="str">
        <f>IF(はじめに入力してください!H17="","",はじめに入力してください!H17)</f>
        <v/>
      </c>
      <c r="AA34" s="592"/>
      <c r="AB34" s="592"/>
      <c r="AC34" s="592"/>
      <c r="AD34" s="592"/>
      <c r="AE34" s="592"/>
      <c r="AF34" s="592"/>
      <c r="AG34" s="592"/>
      <c r="AH34" s="592"/>
      <c r="AI34" s="592"/>
    </row>
    <row r="35" spans="1:42" ht="25" customHeight="1">
      <c r="U35" s="593" t="s">
        <v>13</v>
      </c>
      <c r="V35" s="599"/>
      <c r="W35" s="599"/>
      <c r="X35" s="599"/>
      <c r="Z35" s="591" t="str">
        <f>IF(はじめに入力してください!H18="","",はじめに入力してください!H18)</f>
        <v/>
      </c>
      <c r="AA35" s="592"/>
      <c r="AB35" s="592"/>
      <c r="AC35" s="592"/>
      <c r="AD35" s="592"/>
      <c r="AE35" s="592"/>
      <c r="AF35" s="592"/>
      <c r="AG35" s="592"/>
      <c r="AH35" s="592"/>
      <c r="AI35" s="592"/>
    </row>
    <row r="36" spans="1:42" ht="25" customHeight="1">
      <c r="U36" s="593" t="s">
        <v>14</v>
      </c>
      <c r="V36" s="599"/>
      <c r="W36" s="599"/>
      <c r="X36" s="599"/>
      <c r="Z36" s="591" t="str">
        <f>IF(はじめに入力してください!H19="","",はじめに入力してください!H19)</f>
        <v/>
      </c>
      <c r="AA36" s="592"/>
      <c r="AB36" s="592"/>
      <c r="AC36" s="592"/>
      <c r="AD36" s="592"/>
      <c r="AE36" s="592"/>
      <c r="AF36" s="592"/>
      <c r="AG36" s="592"/>
      <c r="AH36" s="592"/>
      <c r="AI36" s="592"/>
    </row>
    <row r="37" spans="1:42" ht="15" customHeight="1"/>
    <row r="38" spans="1:42" ht="30" customHeight="1">
      <c r="A38" s="609" t="s">
        <v>496</v>
      </c>
      <c r="B38" s="610"/>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1"/>
    </row>
    <row r="39" spans="1:42" ht="30" customHeight="1">
      <c r="A39" s="612"/>
      <c r="B39" s="613"/>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4"/>
    </row>
    <row r="40" spans="1:42" ht="30" customHeight="1">
      <c r="A40" s="612"/>
      <c r="B40" s="613"/>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4"/>
    </row>
    <row r="41" spans="1:42" ht="30" customHeight="1">
      <c r="A41" s="612"/>
      <c r="B41" s="613"/>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4"/>
    </row>
    <row r="42" spans="1:42" ht="30" customHeight="1">
      <c r="A42" s="612"/>
      <c r="B42" s="613"/>
      <c r="C42" s="613"/>
      <c r="D42" s="613"/>
      <c r="E42" s="613"/>
      <c r="F42" s="613"/>
      <c r="G42" s="613"/>
      <c r="H42" s="613"/>
      <c r="I42" s="613"/>
      <c r="J42" s="613"/>
      <c r="K42" s="613"/>
      <c r="L42" s="613"/>
      <c r="M42" s="613"/>
      <c r="N42" s="613"/>
      <c r="O42" s="613"/>
      <c r="P42" s="613"/>
      <c r="Q42" s="613"/>
      <c r="R42" s="613"/>
      <c r="S42" s="613"/>
      <c r="T42" s="613"/>
      <c r="U42" s="613"/>
      <c r="V42" s="613"/>
      <c r="W42" s="613"/>
      <c r="X42" s="613"/>
      <c r="Y42" s="613"/>
      <c r="Z42" s="613"/>
      <c r="AA42" s="613"/>
      <c r="AB42" s="613"/>
      <c r="AC42" s="613"/>
      <c r="AD42" s="613"/>
      <c r="AE42" s="613"/>
      <c r="AF42" s="613"/>
      <c r="AG42" s="613"/>
      <c r="AH42" s="613"/>
      <c r="AI42" s="613"/>
      <c r="AJ42" s="614"/>
    </row>
    <row r="43" spans="1:42" ht="30" customHeight="1">
      <c r="A43" s="612"/>
      <c r="B43" s="613"/>
      <c r="C43" s="613"/>
      <c r="D43" s="613"/>
      <c r="E43" s="613"/>
      <c r="F43" s="613"/>
      <c r="G43" s="613"/>
      <c r="H43" s="613"/>
      <c r="I43" s="613"/>
      <c r="J43" s="613"/>
      <c r="K43" s="613"/>
      <c r="L43" s="613"/>
      <c r="M43" s="613"/>
      <c r="N43" s="613"/>
      <c r="O43" s="613"/>
      <c r="P43" s="613"/>
      <c r="Q43" s="613"/>
      <c r="R43" s="613"/>
      <c r="S43" s="613"/>
      <c r="T43" s="613"/>
      <c r="U43" s="613"/>
      <c r="V43" s="613"/>
      <c r="W43" s="613"/>
      <c r="X43" s="613"/>
      <c r="Y43" s="613"/>
      <c r="Z43" s="613"/>
      <c r="AA43" s="613"/>
      <c r="AB43" s="613"/>
      <c r="AC43" s="613"/>
      <c r="AD43" s="613"/>
      <c r="AE43" s="613"/>
      <c r="AF43" s="613"/>
      <c r="AG43" s="613"/>
      <c r="AH43" s="613"/>
      <c r="AI43" s="613"/>
      <c r="AJ43" s="614"/>
    </row>
    <row r="44" spans="1:42" ht="30" customHeight="1">
      <c r="A44" s="612"/>
      <c r="B44" s="613"/>
      <c r="C44" s="613"/>
      <c r="D44" s="613"/>
      <c r="E44" s="613"/>
      <c r="F44" s="613"/>
      <c r="G44" s="613"/>
      <c r="H44" s="613"/>
      <c r="I44" s="613"/>
      <c r="J44" s="613"/>
      <c r="K44" s="613"/>
      <c r="L44" s="613"/>
      <c r="M44" s="613"/>
      <c r="N44" s="613"/>
      <c r="O44" s="613"/>
      <c r="P44" s="613"/>
      <c r="Q44" s="613"/>
      <c r="R44" s="613"/>
      <c r="S44" s="613"/>
      <c r="T44" s="613"/>
      <c r="U44" s="613"/>
      <c r="V44" s="613"/>
      <c r="W44" s="613"/>
      <c r="X44" s="613"/>
      <c r="Y44" s="613"/>
      <c r="Z44" s="613"/>
      <c r="AA44" s="613"/>
      <c r="AB44" s="613"/>
      <c r="AC44" s="613"/>
      <c r="AD44" s="613"/>
      <c r="AE44" s="613"/>
      <c r="AF44" s="613"/>
      <c r="AG44" s="613"/>
      <c r="AH44" s="613"/>
      <c r="AI44" s="613"/>
      <c r="AJ44" s="614"/>
    </row>
    <row r="45" spans="1:42" ht="30" customHeight="1">
      <c r="A45" s="612"/>
      <c r="B45" s="613"/>
      <c r="C45" s="613"/>
      <c r="D45" s="613"/>
      <c r="E45" s="613"/>
      <c r="F45" s="613"/>
      <c r="G45" s="613"/>
      <c r="H45" s="613"/>
      <c r="I45" s="613"/>
      <c r="J45" s="613"/>
      <c r="K45" s="613"/>
      <c r="L45" s="613"/>
      <c r="M45" s="613"/>
      <c r="N45" s="613"/>
      <c r="O45" s="613"/>
      <c r="P45" s="613"/>
      <c r="Q45" s="613"/>
      <c r="R45" s="613"/>
      <c r="S45" s="613"/>
      <c r="T45" s="613"/>
      <c r="U45" s="613"/>
      <c r="V45" s="613"/>
      <c r="W45" s="613"/>
      <c r="X45" s="613"/>
      <c r="Y45" s="613"/>
      <c r="Z45" s="613"/>
      <c r="AA45" s="613"/>
      <c r="AB45" s="613"/>
      <c r="AC45" s="613"/>
      <c r="AD45" s="613"/>
      <c r="AE45" s="613"/>
      <c r="AF45" s="613"/>
      <c r="AG45" s="613"/>
      <c r="AH45" s="613"/>
      <c r="AI45" s="613"/>
      <c r="AJ45" s="614"/>
    </row>
    <row r="46" spans="1:42" s="34" customFormat="1" ht="30" customHeight="1">
      <c r="A46" s="615"/>
      <c r="B46" s="616"/>
      <c r="C46" s="616"/>
      <c r="D46" s="616"/>
      <c r="E46" s="616"/>
      <c r="F46" s="616"/>
      <c r="G46" s="616"/>
      <c r="H46" s="616"/>
      <c r="I46" s="616"/>
      <c r="J46" s="616"/>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7"/>
      <c r="AM46" s="402"/>
      <c r="AN46" s="402"/>
      <c r="AO46" s="402"/>
      <c r="AP46" s="402"/>
    </row>
    <row r="47" spans="1:42" s="34" customFormat="1" ht="15" customHeight="1">
      <c r="A47" s="605"/>
      <c r="B47" s="606"/>
      <c r="C47" s="606"/>
      <c r="D47" s="606"/>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606"/>
      <c r="AD47" s="606"/>
      <c r="AE47" s="606"/>
      <c r="AF47" s="606"/>
      <c r="AG47" s="606"/>
      <c r="AH47" s="606"/>
      <c r="AI47" s="606"/>
      <c r="AJ47" s="606"/>
      <c r="AM47" s="402"/>
      <c r="AN47" s="402"/>
      <c r="AO47" s="402"/>
      <c r="AP47" s="402"/>
    </row>
    <row r="48" spans="1:42" s="34" customFormat="1" ht="50.15" customHeight="1">
      <c r="A48" s="605"/>
      <c r="B48" s="606"/>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6"/>
      <c r="AI48" s="606"/>
      <c r="AJ48" s="606"/>
      <c r="AM48" s="402"/>
      <c r="AN48" s="402"/>
      <c r="AO48" s="402"/>
      <c r="AP48" s="402"/>
    </row>
    <row r="49" spans="39:42" ht="30" customHeight="1"/>
    <row r="50" spans="39:42" ht="30" customHeight="1">
      <c r="AM50" s="337"/>
      <c r="AN50" s="338"/>
      <c r="AO50" s="338"/>
      <c r="AP50" s="339"/>
    </row>
    <row r="51" spans="39:42" ht="30" customHeight="1">
      <c r="AM51" s="340"/>
      <c r="AN51" s="341"/>
      <c r="AO51" s="341"/>
      <c r="AP51" s="342"/>
    </row>
    <row r="52" spans="39:42" ht="30" customHeight="1">
      <c r="AM52" s="343"/>
      <c r="AN52" s="603"/>
      <c r="AO52" s="604"/>
      <c r="AP52" s="344"/>
    </row>
    <row r="53" spans="39:42" ht="30" customHeight="1">
      <c r="AM53" s="345"/>
      <c r="AN53" s="603"/>
      <c r="AO53" s="604"/>
      <c r="AP53" s="344"/>
    </row>
    <row r="54" spans="39:42" ht="30" customHeight="1">
      <c r="AM54" s="346"/>
      <c r="AN54" s="347"/>
      <c r="AO54" s="347"/>
      <c r="AP54" s="348"/>
    </row>
    <row r="55" spans="39:42">
      <c r="AM55" s="340"/>
      <c r="AN55" s="341"/>
      <c r="AO55" s="341"/>
      <c r="AP55" s="342"/>
    </row>
    <row r="56" spans="39:42">
      <c r="AM56" s="349"/>
      <c r="AN56" s="350"/>
      <c r="AO56" s="350"/>
      <c r="AP56" s="351"/>
    </row>
  </sheetData>
  <sheetProtection algorithmName="SHA-512" hashValue="nvgC1yfPxusxo2UHbWZ71DQF5RjnzHzdER2l1w+FE7m//2qm0JvyBfH2AhRMbVGTgprDineyILalVe4wJcm9Ng==" saltValue="9o7zjbLOswYAEow7NtAqgw==" spinCount="100000" sheet="1" objects="1" scenarios="1"/>
  <mergeCells count="31">
    <mergeCell ref="AM4:AN4"/>
    <mergeCell ref="AO4:AO5"/>
    <mergeCell ref="AN52:AO52"/>
    <mergeCell ref="AN53:AO53"/>
    <mergeCell ref="AC2:AI2"/>
    <mergeCell ref="A47:AJ47"/>
    <mergeCell ref="A48:AJ48"/>
    <mergeCell ref="A16:AJ16"/>
    <mergeCell ref="A17:AJ17"/>
    <mergeCell ref="A38:AJ46"/>
    <mergeCell ref="U36:X36"/>
    <mergeCell ref="Z33:AI33"/>
    <mergeCell ref="Z34:AI34"/>
    <mergeCell ref="Z35:AI35"/>
    <mergeCell ref="Z36:AI36"/>
    <mergeCell ref="AC3:AI3"/>
    <mergeCell ref="C24:I24"/>
    <mergeCell ref="U33:X33"/>
    <mergeCell ref="U34:X34"/>
    <mergeCell ref="U35:X35"/>
    <mergeCell ref="N10:W10"/>
    <mergeCell ref="A12:AJ12"/>
    <mergeCell ref="B4:J4"/>
    <mergeCell ref="C21:AI21"/>
    <mergeCell ref="C20:AI20"/>
    <mergeCell ref="U6:X6"/>
    <mergeCell ref="U7:X7"/>
    <mergeCell ref="U8:X8"/>
    <mergeCell ref="Z6:AJ6"/>
    <mergeCell ref="Z7:AJ7"/>
    <mergeCell ref="Z8:AJ8"/>
  </mergeCells>
  <phoneticPr fontId="5"/>
  <pageMargins left="0.7" right="0.7" top="0.75" bottom="0.75" header="0.3" footer="0.3"/>
  <pageSetup paperSize="9"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5" tint="-0.249977111117893"/>
    <pageSetUpPr fitToPage="1"/>
  </sheetPr>
  <dimension ref="A1:AJ52"/>
  <sheetViews>
    <sheetView showGridLines="0" view="pageBreakPreview" zoomScaleNormal="100" zoomScaleSheetLayoutView="100" workbookViewId="0">
      <pane ySplit="1" topLeftCell="A5" activePane="bottomLeft" state="frozen"/>
      <selection activeCell="C20" sqref="C20:AI20"/>
      <selection pane="bottomLeft" activeCell="C20" sqref="C20:AI20"/>
    </sheetView>
  </sheetViews>
  <sheetFormatPr defaultColWidth="8.58203125" defaultRowHeight="20"/>
  <cols>
    <col min="1" max="26" width="3.58203125" style="2" customWidth="1"/>
    <col min="27" max="32" width="3.58203125" style="2" hidden="1" customWidth="1"/>
    <col min="33" max="36" width="3.58203125" style="2" customWidth="1"/>
    <col min="37" max="16384" width="8.58203125" style="2"/>
  </cols>
  <sheetData>
    <row r="1" spans="1:36">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5" customHeight="1"/>
    <row r="3" spans="1:36" ht="30" customHeight="1">
      <c r="AG3" s="651" t="s">
        <v>15</v>
      </c>
      <c r="AH3" s="465"/>
      <c r="AI3" s="466"/>
    </row>
    <row r="4" spans="1:36" ht="45" customHeight="1">
      <c r="G4" s="600" t="s">
        <v>16</v>
      </c>
      <c r="H4" s="608"/>
      <c r="I4" s="608"/>
      <c r="J4" s="608"/>
      <c r="K4" s="608"/>
      <c r="L4" s="608"/>
      <c r="M4" s="608"/>
      <c r="N4" s="608"/>
      <c r="O4" s="608"/>
      <c r="P4" s="608"/>
      <c r="Q4" s="608"/>
      <c r="R4" s="608"/>
      <c r="S4" s="608"/>
      <c r="T4" s="608"/>
      <c r="U4" s="608"/>
      <c r="V4" s="608"/>
      <c r="W4" s="608"/>
      <c r="X4" s="608"/>
    </row>
    <row r="5" spans="1:36" ht="30" customHeight="1"/>
    <row r="6" spans="1:36" ht="45" customHeight="1">
      <c r="B6" s="647" t="s">
        <v>37</v>
      </c>
      <c r="C6" s="648"/>
      <c r="D6" s="647" t="s">
        <v>36</v>
      </c>
      <c r="E6" s="648"/>
      <c r="F6" s="648"/>
      <c r="G6" s="648"/>
      <c r="H6" s="648"/>
      <c r="I6" s="647" t="s">
        <v>35</v>
      </c>
      <c r="J6" s="648"/>
      <c r="K6" s="648"/>
      <c r="L6" s="648"/>
      <c r="M6" s="648"/>
      <c r="N6" s="648"/>
      <c r="O6" s="649" t="s">
        <v>38</v>
      </c>
      <c r="P6" s="650"/>
      <c r="Q6" s="650"/>
      <c r="R6" s="650"/>
      <c r="S6" s="650"/>
      <c r="T6" s="463"/>
      <c r="U6" s="647" t="s">
        <v>39</v>
      </c>
      <c r="V6" s="648"/>
      <c r="W6" s="648"/>
      <c r="X6" s="648"/>
      <c r="Y6" s="648"/>
      <c r="Z6" s="648"/>
      <c r="AA6" s="647" t="s">
        <v>41</v>
      </c>
      <c r="AB6" s="648"/>
      <c r="AC6" s="648"/>
      <c r="AD6" s="648"/>
      <c r="AE6" s="648"/>
      <c r="AF6" s="648"/>
      <c r="AG6" s="632" t="s">
        <v>40</v>
      </c>
      <c r="AH6" s="633"/>
      <c r="AI6" s="633"/>
    </row>
    <row r="7" spans="1:36" ht="45" customHeight="1">
      <c r="B7" s="640" t="s">
        <v>24</v>
      </c>
      <c r="C7" s="641"/>
      <c r="D7" s="636" t="s">
        <v>17</v>
      </c>
      <c r="E7" s="637"/>
      <c r="F7" s="637"/>
      <c r="G7" s="637"/>
      <c r="H7" s="637"/>
      <c r="I7" s="620">
        <f>初度設備!J3</f>
        <v>0</v>
      </c>
      <c r="J7" s="621"/>
      <c r="K7" s="621"/>
      <c r="L7" s="621"/>
      <c r="M7" s="621"/>
      <c r="N7" s="621"/>
      <c r="O7" s="618">
        <v>0</v>
      </c>
      <c r="P7" s="619"/>
      <c r="Q7" s="619"/>
      <c r="R7" s="619"/>
      <c r="S7" s="619"/>
      <c r="T7" s="619"/>
      <c r="U7" s="620">
        <f>I7-O7</f>
        <v>0</v>
      </c>
      <c r="V7" s="621"/>
      <c r="W7" s="621"/>
      <c r="X7" s="621"/>
      <c r="Y7" s="621"/>
      <c r="Z7" s="621"/>
      <c r="AA7" s="620"/>
      <c r="AB7" s="621"/>
      <c r="AC7" s="621"/>
      <c r="AD7" s="621"/>
      <c r="AE7" s="621"/>
      <c r="AF7" s="621"/>
      <c r="AG7" s="632" t="s">
        <v>43</v>
      </c>
      <c r="AH7" s="633"/>
      <c r="AI7" s="633"/>
    </row>
    <row r="8" spans="1:36" ht="45" customHeight="1">
      <c r="B8" s="641"/>
      <c r="C8" s="641"/>
      <c r="D8" s="636" t="s">
        <v>18</v>
      </c>
      <c r="E8" s="637"/>
      <c r="F8" s="637"/>
      <c r="G8" s="637"/>
      <c r="H8" s="637"/>
      <c r="I8" s="620">
        <f>人工呼吸器!J3</f>
        <v>0</v>
      </c>
      <c r="J8" s="621"/>
      <c r="K8" s="621"/>
      <c r="L8" s="621"/>
      <c r="M8" s="621"/>
      <c r="N8" s="621"/>
      <c r="O8" s="618">
        <v>0</v>
      </c>
      <c r="P8" s="619"/>
      <c r="Q8" s="619"/>
      <c r="R8" s="619"/>
      <c r="S8" s="619"/>
      <c r="T8" s="619"/>
      <c r="U8" s="620">
        <f t="shared" ref="U8:U14" si="0">I8-O8</f>
        <v>0</v>
      </c>
      <c r="V8" s="621"/>
      <c r="W8" s="621"/>
      <c r="X8" s="621"/>
      <c r="Y8" s="621"/>
      <c r="Z8" s="621"/>
      <c r="AA8" s="620"/>
      <c r="AB8" s="621"/>
      <c r="AC8" s="621"/>
      <c r="AD8" s="621"/>
      <c r="AE8" s="621"/>
      <c r="AF8" s="621"/>
      <c r="AG8" s="632" t="s">
        <v>44</v>
      </c>
      <c r="AH8" s="633"/>
      <c r="AI8" s="633"/>
    </row>
    <row r="9" spans="1:36" ht="45" customHeight="1">
      <c r="B9" s="641"/>
      <c r="C9" s="641"/>
      <c r="D9" s="636" t="s">
        <v>19</v>
      </c>
      <c r="E9" s="637"/>
      <c r="F9" s="637"/>
      <c r="G9" s="637"/>
      <c r="H9" s="637"/>
      <c r="I9" s="620">
        <f>個人防護具!K2</f>
        <v>0</v>
      </c>
      <c r="J9" s="621"/>
      <c r="K9" s="621"/>
      <c r="L9" s="621"/>
      <c r="M9" s="621"/>
      <c r="N9" s="621"/>
      <c r="O9" s="618">
        <v>0</v>
      </c>
      <c r="P9" s="619"/>
      <c r="Q9" s="619"/>
      <c r="R9" s="619"/>
      <c r="S9" s="619"/>
      <c r="T9" s="619"/>
      <c r="U9" s="620">
        <f t="shared" si="0"/>
        <v>0</v>
      </c>
      <c r="V9" s="621"/>
      <c r="W9" s="621"/>
      <c r="X9" s="621"/>
      <c r="Y9" s="621"/>
      <c r="Z9" s="621"/>
      <c r="AA9" s="620"/>
      <c r="AB9" s="621"/>
      <c r="AC9" s="621"/>
      <c r="AD9" s="621"/>
      <c r="AE9" s="621"/>
      <c r="AF9" s="621"/>
      <c r="AG9" s="632" t="s">
        <v>45</v>
      </c>
      <c r="AH9" s="633"/>
      <c r="AI9" s="633"/>
    </row>
    <row r="10" spans="1:36" ht="45" customHeight="1">
      <c r="B10" s="641"/>
      <c r="C10" s="641"/>
      <c r="D10" s="636" t="s">
        <v>20</v>
      </c>
      <c r="E10" s="637"/>
      <c r="F10" s="637"/>
      <c r="G10" s="637"/>
      <c r="H10" s="637"/>
      <c r="I10" s="620">
        <f>簡易陰圧装置!J3</f>
        <v>0</v>
      </c>
      <c r="J10" s="621"/>
      <c r="K10" s="621"/>
      <c r="L10" s="621"/>
      <c r="M10" s="621"/>
      <c r="N10" s="621"/>
      <c r="O10" s="618">
        <v>0</v>
      </c>
      <c r="P10" s="619"/>
      <c r="Q10" s="619"/>
      <c r="R10" s="619"/>
      <c r="S10" s="619"/>
      <c r="T10" s="619"/>
      <c r="U10" s="620">
        <f t="shared" si="0"/>
        <v>0</v>
      </c>
      <c r="V10" s="621"/>
      <c r="W10" s="621"/>
      <c r="X10" s="621"/>
      <c r="Y10" s="621"/>
      <c r="Z10" s="621"/>
      <c r="AA10" s="620"/>
      <c r="AB10" s="621"/>
      <c r="AC10" s="621"/>
      <c r="AD10" s="621"/>
      <c r="AE10" s="621"/>
      <c r="AF10" s="621"/>
      <c r="AG10" s="632" t="s">
        <v>46</v>
      </c>
      <c r="AH10" s="633"/>
      <c r="AI10" s="633"/>
    </row>
    <row r="11" spans="1:36" ht="45" customHeight="1">
      <c r="B11" s="641"/>
      <c r="C11" s="641"/>
      <c r="D11" s="636" t="s">
        <v>21</v>
      </c>
      <c r="E11" s="637"/>
      <c r="F11" s="637"/>
      <c r="G11" s="637"/>
      <c r="H11" s="637"/>
      <c r="I11" s="620">
        <f>簡易ベッド!J3</f>
        <v>0</v>
      </c>
      <c r="J11" s="621"/>
      <c r="K11" s="621"/>
      <c r="L11" s="621"/>
      <c r="M11" s="621"/>
      <c r="N11" s="621"/>
      <c r="O11" s="618">
        <v>0</v>
      </c>
      <c r="P11" s="619"/>
      <c r="Q11" s="619"/>
      <c r="R11" s="619"/>
      <c r="S11" s="619"/>
      <c r="T11" s="619"/>
      <c r="U11" s="620">
        <f t="shared" si="0"/>
        <v>0</v>
      </c>
      <c r="V11" s="621"/>
      <c r="W11" s="621"/>
      <c r="X11" s="621"/>
      <c r="Y11" s="621"/>
      <c r="Z11" s="621"/>
      <c r="AA11" s="620"/>
      <c r="AB11" s="621"/>
      <c r="AC11" s="621"/>
      <c r="AD11" s="621"/>
      <c r="AE11" s="621"/>
      <c r="AF11" s="621"/>
      <c r="AG11" s="632" t="s">
        <v>47</v>
      </c>
      <c r="AH11" s="633"/>
      <c r="AI11" s="633"/>
    </row>
    <row r="12" spans="1:36" ht="45" customHeight="1">
      <c r="B12" s="641"/>
      <c r="C12" s="641"/>
      <c r="D12" s="636" t="s">
        <v>22</v>
      </c>
      <c r="E12" s="637"/>
      <c r="F12" s="637"/>
      <c r="G12" s="637"/>
      <c r="H12" s="637"/>
      <c r="I12" s="620">
        <f>体外式膜型人工肺!J3</f>
        <v>0</v>
      </c>
      <c r="J12" s="621"/>
      <c r="K12" s="621"/>
      <c r="L12" s="621"/>
      <c r="M12" s="621"/>
      <c r="N12" s="621"/>
      <c r="O12" s="618">
        <v>0</v>
      </c>
      <c r="P12" s="619"/>
      <c r="Q12" s="619"/>
      <c r="R12" s="619"/>
      <c r="S12" s="619"/>
      <c r="T12" s="619"/>
      <c r="U12" s="620">
        <f t="shared" si="0"/>
        <v>0</v>
      </c>
      <c r="V12" s="621"/>
      <c r="W12" s="621"/>
      <c r="X12" s="621"/>
      <c r="Y12" s="621"/>
      <c r="Z12" s="621"/>
      <c r="AA12" s="620"/>
      <c r="AB12" s="621"/>
      <c r="AC12" s="621"/>
      <c r="AD12" s="621"/>
      <c r="AE12" s="621"/>
      <c r="AF12" s="621"/>
      <c r="AG12" s="632" t="s">
        <v>48</v>
      </c>
      <c r="AH12" s="633"/>
      <c r="AI12" s="633"/>
    </row>
    <row r="13" spans="1:36" ht="45" customHeight="1">
      <c r="B13" s="641"/>
      <c r="C13" s="641"/>
      <c r="D13" s="636" t="s">
        <v>23</v>
      </c>
      <c r="E13" s="637"/>
      <c r="F13" s="637"/>
      <c r="G13" s="637"/>
      <c r="H13" s="637"/>
      <c r="I13" s="620">
        <f>簡易病室!J3</f>
        <v>0</v>
      </c>
      <c r="J13" s="621"/>
      <c r="K13" s="621"/>
      <c r="L13" s="621"/>
      <c r="M13" s="621"/>
      <c r="N13" s="621"/>
      <c r="O13" s="618">
        <v>0</v>
      </c>
      <c r="P13" s="619"/>
      <c r="Q13" s="619"/>
      <c r="R13" s="619"/>
      <c r="S13" s="619"/>
      <c r="T13" s="619"/>
      <c r="U13" s="620">
        <f t="shared" si="0"/>
        <v>0</v>
      </c>
      <c r="V13" s="621"/>
      <c r="W13" s="621"/>
      <c r="X13" s="621"/>
      <c r="Y13" s="621"/>
      <c r="Z13" s="621"/>
      <c r="AA13" s="620"/>
      <c r="AB13" s="621"/>
      <c r="AC13" s="621"/>
      <c r="AD13" s="621"/>
      <c r="AE13" s="621"/>
      <c r="AF13" s="621"/>
      <c r="AG13" s="632" t="s">
        <v>49</v>
      </c>
      <c r="AH13" s="633"/>
      <c r="AI13" s="633"/>
    </row>
    <row r="14" spans="1:36" ht="45" customHeight="1" thickBot="1">
      <c r="B14" s="641"/>
      <c r="C14" s="641"/>
      <c r="D14" s="638" t="s">
        <v>33</v>
      </c>
      <c r="E14" s="639"/>
      <c r="F14" s="639"/>
      <c r="G14" s="639"/>
      <c r="H14" s="639"/>
      <c r="I14" s="622">
        <f>紫外線照射装置!J3</f>
        <v>0</v>
      </c>
      <c r="J14" s="623"/>
      <c r="K14" s="623"/>
      <c r="L14" s="623"/>
      <c r="M14" s="623"/>
      <c r="N14" s="623"/>
      <c r="O14" s="618">
        <v>0</v>
      </c>
      <c r="P14" s="619"/>
      <c r="Q14" s="619"/>
      <c r="R14" s="619"/>
      <c r="S14" s="619"/>
      <c r="T14" s="619"/>
      <c r="U14" s="622">
        <f t="shared" si="0"/>
        <v>0</v>
      </c>
      <c r="V14" s="623"/>
      <c r="W14" s="623"/>
      <c r="X14" s="623"/>
      <c r="Y14" s="623"/>
      <c r="Z14" s="623"/>
      <c r="AA14" s="622"/>
      <c r="AB14" s="623"/>
      <c r="AC14" s="623"/>
      <c r="AD14" s="623"/>
      <c r="AE14" s="623"/>
      <c r="AF14" s="623"/>
      <c r="AG14" s="632" t="s">
        <v>50</v>
      </c>
      <c r="AH14" s="633"/>
      <c r="AI14" s="633"/>
    </row>
    <row r="15" spans="1:36" ht="45" customHeight="1" thickTop="1">
      <c r="B15" s="641"/>
      <c r="C15" s="641"/>
      <c r="D15" s="626" t="s">
        <v>34</v>
      </c>
      <c r="E15" s="627"/>
      <c r="F15" s="627"/>
      <c r="G15" s="627"/>
      <c r="H15" s="627"/>
      <c r="I15" s="628">
        <f>SUM(I7:N14)</f>
        <v>0</v>
      </c>
      <c r="J15" s="629"/>
      <c r="K15" s="629"/>
      <c r="L15" s="629"/>
      <c r="M15" s="629"/>
      <c r="N15" s="629"/>
      <c r="O15" s="628">
        <f t="shared" ref="O15" si="1">SUM(O7:T14)</f>
        <v>0</v>
      </c>
      <c r="P15" s="629"/>
      <c r="Q15" s="629"/>
      <c r="R15" s="629"/>
      <c r="S15" s="629"/>
      <c r="T15" s="629"/>
      <c r="U15" s="628">
        <f t="shared" ref="U15" si="2">SUM(U7:Z14)</f>
        <v>0</v>
      </c>
      <c r="V15" s="629"/>
      <c r="W15" s="629"/>
      <c r="X15" s="629"/>
      <c r="Y15" s="629"/>
      <c r="Z15" s="629"/>
      <c r="AA15" s="628">
        <f t="shared" ref="AA15" si="3">SUM(AA7:AF14)</f>
        <v>0</v>
      </c>
      <c r="AB15" s="629"/>
      <c r="AC15" s="629"/>
      <c r="AD15" s="629"/>
      <c r="AE15" s="629"/>
      <c r="AF15" s="629"/>
      <c r="AG15" s="630"/>
      <c r="AH15" s="631"/>
      <c r="AI15" s="631"/>
    </row>
    <row r="16" spans="1:36" ht="45" customHeight="1">
      <c r="B16" s="640" t="s">
        <v>25</v>
      </c>
      <c r="C16" s="641"/>
      <c r="D16" s="645" t="s">
        <v>26</v>
      </c>
      <c r="E16" s="646"/>
      <c r="F16" s="646"/>
      <c r="G16" s="646"/>
      <c r="H16" s="646"/>
      <c r="I16" s="620">
        <f>超音波画像診断装置!J3</f>
        <v>0</v>
      </c>
      <c r="J16" s="621"/>
      <c r="K16" s="621"/>
      <c r="L16" s="621"/>
      <c r="M16" s="621"/>
      <c r="N16" s="621"/>
      <c r="O16" s="618">
        <v>0</v>
      </c>
      <c r="P16" s="619"/>
      <c r="Q16" s="619"/>
      <c r="R16" s="619"/>
      <c r="S16" s="619"/>
      <c r="T16" s="619"/>
      <c r="U16" s="620">
        <f t="shared" ref="U16" si="4">I16-O16</f>
        <v>0</v>
      </c>
      <c r="V16" s="621"/>
      <c r="W16" s="621"/>
      <c r="X16" s="621"/>
      <c r="Y16" s="621"/>
      <c r="Z16" s="621"/>
      <c r="AA16" s="620"/>
      <c r="AB16" s="621"/>
      <c r="AC16" s="621"/>
      <c r="AD16" s="621"/>
      <c r="AE16" s="621"/>
      <c r="AF16" s="621"/>
      <c r="AG16" s="632" t="s">
        <v>51</v>
      </c>
      <c r="AH16" s="633"/>
      <c r="AI16" s="633"/>
    </row>
    <row r="17" spans="2:35" ht="45" customHeight="1">
      <c r="B17" s="641"/>
      <c r="C17" s="641"/>
      <c r="D17" s="636" t="s">
        <v>27</v>
      </c>
      <c r="E17" s="637"/>
      <c r="F17" s="637"/>
      <c r="G17" s="637"/>
      <c r="H17" s="637"/>
      <c r="I17" s="620">
        <f>血液浄化装置!J3</f>
        <v>0</v>
      </c>
      <c r="J17" s="621"/>
      <c r="K17" s="621"/>
      <c r="L17" s="621"/>
      <c r="M17" s="621"/>
      <c r="N17" s="621"/>
      <c r="O17" s="618">
        <v>0</v>
      </c>
      <c r="P17" s="619"/>
      <c r="Q17" s="619"/>
      <c r="R17" s="619"/>
      <c r="S17" s="619"/>
      <c r="T17" s="619"/>
      <c r="U17" s="620">
        <f t="shared" ref="U17:U22" si="5">I17-O17</f>
        <v>0</v>
      </c>
      <c r="V17" s="621"/>
      <c r="W17" s="621"/>
      <c r="X17" s="621"/>
      <c r="Y17" s="621"/>
      <c r="Z17" s="621"/>
      <c r="AA17" s="620"/>
      <c r="AB17" s="621"/>
      <c r="AC17" s="621"/>
      <c r="AD17" s="621"/>
      <c r="AE17" s="621"/>
      <c r="AF17" s="621"/>
      <c r="AG17" s="632" t="s">
        <v>52</v>
      </c>
      <c r="AH17" s="633"/>
      <c r="AI17" s="633"/>
    </row>
    <row r="18" spans="2:35" ht="45" customHeight="1">
      <c r="B18" s="641"/>
      <c r="C18" s="641"/>
      <c r="D18" s="636" t="s">
        <v>28</v>
      </c>
      <c r="E18" s="637"/>
      <c r="F18" s="637"/>
      <c r="G18" s="637"/>
      <c r="H18" s="637"/>
      <c r="I18" s="620">
        <f>気管支鏡!J3</f>
        <v>0</v>
      </c>
      <c r="J18" s="621"/>
      <c r="K18" s="621"/>
      <c r="L18" s="621"/>
      <c r="M18" s="621"/>
      <c r="N18" s="621"/>
      <c r="O18" s="618">
        <v>0</v>
      </c>
      <c r="P18" s="619"/>
      <c r="Q18" s="619"/>
      <c r="R18" s="619"/>
      <c r="S18" s="619"/>
      <c r="T18" s="619"/>
      <c r="U18" s="620">
        <f t="shared" si="5"/>
        <v>0</v>
      </c>
      <c r="V18" s="621"/>
      <c r="W18" s="621"/>
      <c r="X18" s="621"/>
      <c r="Y18" s="621"/>
      <c r="Z18" s="621"/>
      <c r="AA18" s="620"/>
      <c r="AB18" s="621"/>
      <c r="AC18" s="621"/>
      <c r="AD18" s="621"/>
      <c r="AE18" s="621"/>
      <c r="AF18" s="621"/>
      <c r="AG18" s="632" t="s">
        <v>53</v>
      </c>
      <c r="AH18" s="633"/>
      <c r="AI18" s="633"/>
    </row>
    <row r="19" spans="2:35" ht="45" customHeight="1">
      <c r="B19" s="641"/>
      <c r="C19" s="641"/>
      <c r="D19" s="636" t="s">
        <v>29</v>
      </c>
      <c r="E19" s="637"/>
      <c r="F19" s="637"/>
      <c r="G19" s="637"/>
      <c r="H19" s="637"/>
      <c r="I19" s="620">
        <f>CT撮影装置!J3</f>
        <v>0</v>
      </c>
      <c r="J19" s="621"/>
      <c r="K19" s="621"/>
      <c r="L19" s="621"/>
      <c r="M19" s="621"/>
      <c r="N19" s="621"/>
      <c r="O19" s="618">
        <v>0</v>
      </c>
      <c r="P19" s="619"/>
      <c r="Q19" s="619"/>
      <c r="R19" s="619"/>
      <c r="S19" s="619"/>
      <c r="T19" s="619"/>
      <c r="U19" s="620">
        <f t="shared" si="5"/>
        <v>0</v>
      </c>
      <c r="V19" s="621"/>
      <c r="W19" s="621"/>
      <c r="X19" s="621"/>
      <c r="Y19" s="621"/>
      <c r="Z19" s="621"/>
      <c r="AA19" s="620"/>
      <c r="AB19" s="621"/>
      <c r="AC19" s="621"/>
      <c r="AD19" s="621"/>
      <c r="AE19" s="621"/>
      <c r="AF19" s="621"/>
      <c r="AG19" s="632" t="s">
        <v>54</v>
      </c>
      <c r="AH19" s="633"/>
      <c r="AI19" s="633"/>
    </row>
    <row r="20" spans="2:35" ht="45" customHeight="1">
      <c r="B20" s="641"/>
      <c r="C20" s="641"/>
      <c r="D20" s="636" t="s">
        <v>30</v>
      </c>
      <c r="E20" s="637"/>
      <c r="F20" s="637"/>
      <c r="G20" s="637"/>
      <c r="H20" s="637"/>
      <c r="I20" s="620">
        <f>生体情報モニタ!J3</f>
        <v>0</v>
      </c>
      <c r="J20" s="621"/>
      <c r="K20" s="621"/>
      <c r="L20" s="621"/>
      <c r="M20" s="621"/>
      <c r="N20" s="621"/>
      <c r="O20" s="618">
        <v>0</v>
      </c>
      <c r="P20" s="619"/>
      <c r="Q20" s="619"/>
      <c r="R20" s="619"/>
      <c r="S20" s="619"/>
      <c r="T20" s="619"/>
      <c r="U20" s="620">
        <f t="shared" si="5"/>
        <v>0</v>
      </c>
      <c r="V20" s="621"/>
      <c r="W20" s="621"/>
      <c r="X20" s="621"/>
      <c r="Y20" s="621"/>
      <c r="Z20" s="621"/>
      <c r="AA20" s="620"/>
      <c r="AB20" s="621"/>
      <c r="AC20" s="621"/>
      <c r="AD20" s="621"/>
      <c r="AE20" s="621"/>
      <c r="AF20" s="621"/>
      <c r="AG20" s="632" t="s">
        <v>55</v>
      </c>
      <c r="AH20" s="633"/>
      <c r="AI20" s="633"/>
    </row>
    <row r="21" spans="2:35" ht="45" customHeight="1">
      <c r="B21" s="641"/>
      <c r="C21" s="641"/>
      <c r="D21" s="636" t="s">
        <v>31</v>
      </c>
      <c r="E21" s="637"/>
      <c r="F21" s="637"/>
      <c r="G21" s="637"/>
      <c r="H21" s="637"/>
      <c r="I21" s="620">
        <f>分娩監視装置!J3</f>
        <v>0</v>
      </c>
      <c r="J21" s="621"/>
      <c r="K21" s="621"/>
      <c r="L21" s="621"/>
      <c r="M21" s="621"/>
      <c r="N21" s="621"/>
      <c r="O21" s="618">
        <v>0</v>
      </c>
      <c r="P21" s="619"/>
      <c r="Q21" s="619"/>
      <c r="R21" s="619"/>
      <c r="S21" s="619"/>
      <c r="T21" s="619"/>
      <c r="U21" s="620">
        <f t="shared" si="5"/>
        <v>0</v>
      </c>
      <c r="V21" s="621"/>
      <c r="W21" s="621"/>
      <c r="X21" s="621"/>
      <c r="Y21" s="621"/>
      <c r="Z21" s="621"/>
      <c r="AA21" s="620"/>
      <c r="AB21" s="621"/>
      <c r="AC21" s="621"/>
      <c r="AD21" s="621"/>
      <c r="AE21" s="621"/>
      <c r="AF21" s="621"/>
      <c r="AG21" s="632" t="s">
        <v>56</v>
      </c>
      <c r="AH21" s="633"/>
      <c r="AI21" s="633"/>
    </row>
    <row r="22" spans="2:35" ht="45" customHeight="1" thickBot="1">
      <c r="B22" s="641"/>
      <c r="C22" s="641"/>
      <c r="D22" s="638" t="s">
        <v>32</v>
      </c>
      <c r="E22" s="639"/>
      <c r="F22" s="639"/>
      <c r="G22" s="639"/>
      <c r="H22" s="639"/>
      <c r="I22" s="622">
        <f>新生児モニタ!J3</f>
        <v>0</v>
      </c>
      <c r="J22" s="623"/>
      <c r="K22" s="623"/>
      <c r="L22" s="623"/>
      <c r="M22" s="623"/>
      <c r="N22" s="623"/>
      <c r="O22" s="618">
        <v>0</v>
      </c>
      <c r="P22" s="619"/>
      <c r="Q22" s="619"/>
      <c r="R22" s="619"/>
      <c r="S22" s="619"/>
      <c r="T22" s="619"/>
      <c r="U22" s="622">
        <f t="shared" si="5"/>
        <v>0</v>
      </c>
      <c r="V22" s="623"/>
      <c r="W22" s="623"/>
      <c r="X22" s="623"/>
      <c r="Y22" s="623"/>
      <c r="Z22" s="623"/>
      <c r="AA22" s="622"/>
      <c r="AB22" s="623"/>
      <c r="AC22" s="623"/>
      <c r="AD22" s="623"/>
      <c r="AE22" s="623"/>
      <c r="AF22" s="623"/>
      <c r="AG22" s="632" t="s">
        <v>57</v>
      </c>
      <c r="AH22" s="633"/>
      <c r="AI22" s="633"/>
    </row>
    <row r="23" spans="2:35" ht="45" customHeight="1" thickTop="1" thickBot="1">
      <c r="B23" s="642"/>
      <c r="C23" s="642"/>
      <c r="D23" s="643" t="s">
        <v>34</v>
      </c>
      <c r="E23" s="644"/>
      <c r="F23" s="644"/>
      <c r="G23" s="644"/>
      <c r="H23" s="644"/>
      <c r="I23" s="634">
        <f>SUM(I16:N22)</f>
        <v>0</v>
      </c>
      <c r="J23" s="635"/>
      <c r="K23" s="635"/>
      <c r="L23" s="635"/>
      <c r="M23" s="635"/>
      <c r="N23" s="635"/>
      <c r="O23" s="634">
        <f t="shared" ref="O23" si="6">SUM(O16:T22)</f>
        <v>0</v>
      </c>
      <c r="P23" s="635"/>
      <c r="Q23" s="635"/>
      <c r="R23" s="635"/>
      <c r="S23" s="635"/>
      <c r="T23" s="635"/>
      <c r="U23" s="634">
        <f t="shared" ref="U23" si="7">SUM(U16:Z22)</f>
        <v>0</v>
      </c>
      <c r="V23" s="635"/>
      <c r="W23" s="635"/>
      <c r="X23" s="635"/>
      <c r="Y23" s="635"/>
      <c r="Z23" s="635"/>
      <c r="AA23" s="634">
        <f t="shared" ref="AA23" si="8">SUM(AA16:AF22)</f>
        <v>0</v>
      </c>
      <c r="AB23" s="635"/>
      <c r="AC23" s="635"/>
      <c r="AD23" s="635"/>
      <c r="AE23" s="635"/>
      <c r="AF23" s="635"/>
      <c r="AG23" s="624"/>
      <c r="AH23" s="625"/>
      <c r="AI23" s="625"/>
    </row>
    <row r="24" spans="2:35" ht="45" customHeight="1" thickTop="1">
      <c r="B24" s="626" t="s">
        <v>42</v>
      </c>
      <c r="C24" s="627"/>
      <c r="D24" s="627"/>
      <c r="E24" s="627"/>
      <c r="F24" s="627"/>
      <c r="G24" s="627"/>
      <c r="H24" s="627"/>
      <c r="I24" s="628">
        <f>SUM(I15,I23)</f>
        <v>0</v>
      </c>
      <c r="J24" s="629"/>
      <c r="K24" s="629"/>
      <c r="L24" s="629"/>
      <c r="M24" s="629"/>
      <c r="N24" s="629"/>
      <c r="O24" s="628">
        <f t="shared" ref="O24" si="9">SUM(O15,O23)</f>
        <v>0</v>
      </c>
      <c r="P24" s="629"/>
      <c r="Q24" s="629"/>
      <c r="R24" s="629"/>
      <c r="S24" s="629"/>
      <c r="T24" s="629"/>
      <c r="U24" s="628">
        <f t="shared" ref="U24" si="10">SUM(U15,U23)</f>
        <v>0</v>
      </c>
      <c r="V24" s="629"/>
      <c r="W24" s="629"/>
      <c r="X24" s="629"/>
      <c r="Y24" s="629"/>
      <c r="Z24" s="629"/>
      <c r="AA24" s="628">
        <f t="shared" ref="AA24" si="11">SUM(AA15,AA23)</f>
        <v>0</v>
      </c>
      <c r="AB24" s="629"/>
      <c r="AC24" s="629"/>
      <c r="AD24" s="629"/>
      <c r="AE24" s="629"/>
      <c r="AF24" s="629"/>
      <c r="AG24" s="630"/>
      <c r="AH24" s="631"/>
      <c r="AI24" s="631"/>
    </row>
    <row r="25" spans="2:35" ht="45" customHeight="1"/>
    <row r="26" spans="2:35" ht="45" customHeight="1"/>
    <row r="27" spans="2:35" ht="45" customHeight="1"/>
    <row r="28" spans="2:35" ht="45" customHeight="1"/>
    <row r="29" spans="2:35" ht="45" customHeight="1"/>
    <row r="30" spans="2:35" ht="45" customHeight="1"/>
    <row r="31" spans="2:35" ht="45" customHeight="1"/>
    <row r="32" spans="2:35"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sheetData>
  <sheetProtection algorithmName="SHA-512" hashValue="j7LJe4Z08UdYPK+5mP7PzTqA5bRmMnrLcrjgD4sGFcO89HEFsnFFFPqE67MpW78lVubi5XlpaUPyZYcqeLWpog==" saltValue="SKK5dVBkDpijXeCF1H9iCA==" spinCount="100000" sheet="1" objects="1" scenarios="1"/>
  <mergeCells count="119">
    <mergeCell ref="G4:X4"/>
    <mergeCell ref="AG3:AI3"/>
    <mergeCell ref="D20:H20"/>
    <mergeCell ref="U7:Z7"/>
    <mergeCell ref="I7:N7"/>
    <mergeCell ref="O7:T7"/>
    <mergeCell ref="I8:N8"/>
    <mergeCell ref="O8:T8"/>
    <mergeCell ref="U8:Z8"/>
    <mergeCell ref="I15:N15"/>
    <mergeCell ref="O15:T15"/>
    <mergeCell ref="U15:Z15"/>
    <mergeCell ref="I16:N16"/>
    <mergeCell ref="O16:T16"/>
    <mergeCell ref="U16:Z16"/>
    <mergeCell ref="I13:N13"/>
    <mergeCell ref="O13:T13"/>
    <mergeCell ref="U13:Z13"/>
    <mergeCell ref="D17:H17"/>
    <mergeCell ref="D18:H18"/>
    <mergeCell ref="D19:H19"/>
    <mergeCell ref="U10:Z10"/>
    <mergeCell ref="I20:N20"/>
    <mergeCell ref="O20:T20"/>
    <mergeCell ref="O6:T6"/>
    <mergeCell ref="U6:Z6"/>
    <mergeCell ref="I11:N11"/>
    <mergeCell ref="O11:T11"/>
    <mergeCell ref="U11:Z11"/>
    <mergeCell ref="I12:N12"/>
    <mergeCell ref="O12:T12"/>
    <mergeCell ref="U12:Z12"/>
    <mergeCell ref="I9:N9"/>
    <mergeCell ref="O9:T9"/>
    <mergeCell ref="U9:Z9"/>
    <mergeCell ref="I10:N10"/>
    <mergeCell ref="O10:T10"/>
    <mergeCell ref="D8:H8"/>
    <mergeCell ref="D9:H9"/>
    <mergeCell ref="D10:H10"/>
    <mergeCell ref="D11:H11"/>
    <mergeCell ref="D7:H7"/>
    <mergeCell ref="D12:H12"/>
    <mergeCell ref="B6:C6"/>
    <mergeCell ref="D6:H6"/>
    <mergeCell ref="I6:N6"/>
    <mergeCell ref="B7:C15"/>
    <mergeCell ref="D15:H15"/>
    <mergeCell ref="D13:H13"/>
    <mergeCell ref="D14:H14"/>
    <mergeCell ref="I14:N14"/>
    <mergeCell ref="O14:T14"/>
    <mergeCell ref="U14:Z14"/>
    <mergeCell ref="I19:N19"/>
    <mergeCell ref="O19:T19"/>
    <mergeCell ref="U19:Z19"/>
    <mergeCell ref="I17:N17"/>
    <mergeCell ref="O17:T17"/>
    <mergeCell ref="U17:Z17"/>
    <mergeCell ref="I18:N18"/>
    <mergeCell ref="O18:T18"/>
    <mergeCell ref="U18:Z18"/>
    <mergeCell ref="AG6:AI6"/>
    <mergeCell ref="AG7:AI7"/>
    <mergeCell ref="AG8:AI8"/>
    <mergeCell ref="AG9:AI9"/>
    <mergeCell ref="AG10:AI10"/>
    <mergeCell ref="AA13:AF13"/>
    <mergeCell ref="AA14:AF14"/>
    <mergeCell ref="AA15:AF15"/>
    <mergeCell ref="AA16:AF16"/>
    <mergeCell ref="AA6:AF6"/>
    <mergeCell ref="AA7:AF7"/>
    <mergeCell ref="AA8:AF8"/>
    <mergeCell ref="AA9:AF9"/>
    <mergeCell ref="AA10:AF10"/>
    <mergeCell ref="AA11:AF11"/>
    <mergeCell ref="AA12:AF12"/>
    <mergeCell ref="AG11:AI11"/>
    <mergeCell ref="AG12:AI12"/>
    <mergeCell ref="AG13:AI13"/>
    <mergeCell ref="AG14:AI14"/>
    <mergeCell ref="AG15:AI15"/>
    <mergeCell ref="AG16:AI16"/>
    <mergeCell ref="AG23:AI23"/>
    <mergeCell ref="B24:H24"/>
    <mergeCell ref="I24:N24"/>
    <mergeCell ref="O24:T24"/>
    <mergeCell ref="U24:Z24"/>
    <mergeCell ref="AA24:AF24"/>
    <mergeCell ref="AG24:AI24"/>
    <mergeCell ref="AG17:AI17"/>
    <mergeCell ref="AG18:AI18"/>
    <mergeCell ref="AG19:AI19"/>
    <mergeCell ref="AG20:AI20"/>
    <mergeCell ref="AG21:AI21"/>
    <mergeCell ref="AG22:AI22"/>
    <mergeCell ref="AA22:AF22"/>
    <mergeCell ref="AA23:AF23"/>
    <mergeCell ref="I23:N23"/>
    <mergeCell ref="O23:T23"/>
    <mergeCell ref="U23:Z23"/>
    <mergeCell ref="I21:N21"/>
    <mergeCell ref="D21:H21"/>
    <mergeCell ref="D22:H22"/>
    <mergeCell ref="B16:C23"/>
    <mergeCell ref="D23:H23"/>
    <mergeCell ref="D16:H16"/>
    <mergeCell ref="O21:T21"/>
    <mergeCell ref="U21:Z21"/>
    <mergeCell ref="I22:N22"/>
    <mergeCell ref="O22:T22"/>
    <mergeCell ref="U22:Z22"/>
    <mergeCell ref="AA19:AF19"/>
    <mergeCell ref="AA20:AF20"/>
    <mergeCell ref="AA21:AF21"/>
    <mergeCell ref="AA17:AF17"/>
    <mergeCell ref="AA18:AF18"/>
    <mergeCell ref="U20:Z20"/>
  </mergeCells>
  <phoneticPr fontId="5"/>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pageSetUpPr fitToPage="1"/>
  </sheetPr>
  <dimension ref="A1:AN43"/>
  <sheetViews>
    <sheetView showGridLines="0" view="pageBreakPreview" zoomScale="70" zoomScaleNormal="100" zoomScaleSheetLayoutView="70" workbookViewId="0">
      <selection activeCell="C20" sqref="C20:AI20"/>
    </sheetView>
  </sheetViews>
  <sheetFormatPr defaultColWidth="9" defaultRowHeight="10.5"/>
  <cols>
    <col min="1" max="1" width="8.58203125" style="117" customWidth="1"/>
    <col min="2" max="21" width="8.58203125" style="286" customWidth="1"/>
    <col min="22" max="23" width="3.58203125" style="286" customWidth="1"/>
    <col min="24" max="24" width="6.58203125" style="286" customWidth="1"/>
    <col min="25" max="48" width="3.58203125" style="286" customWidth="1"/>
    <col min="49" max="16384" width="9" style="286"/>
  </cols>
  <sheetData>
    <row r="1" spans="1:40" ht="30" customHeight="1">
      <c r="A1" s="652" t="s">
        <v>622</v>
      </c>
      <c r="B1" s="653"/>
      <c r="C1" s="654"/>
      <c r="T1" s="287" t="s">
        <v>454</v>
      </c>
      <c r="U1" s="287" t="str">
        <f>IF(COUNTIF(W1:Y1,"○")=3,"○","×")</f>
        <v>×</v>
      </c>
      <c r="W1" s="287" t="str">
        <f>G42</f>
        <v>×</v>
      </c>
      <c r="X1" s="287" t="str">
        <f>N42</f>
        <v>×</v>
      </c>
      <c r="Y1" s="287" t="str">
        <f>U42</f>
        <v>×</v>
      </c>
    </row>
    <row r="2" spans="1:40" ht="15" customHeight="1">
      <c r="A2" s="286"/>
    </row>
    <row r="3" spans="1:40" ht="15" customHeight="1">
      <c r="A3" s="655" t="s">
        <v>619</v>
      </c>
      <c r="B3" s="656"/>
      <c r="C3" s="656"/>
      <c r="D3" s="656"/>
      <c r="E3" s="656"/>
      <c r="F3" s="656"/>
      <c r="G3" s="656"/>
      <c r="H3" s="656"/>
      <c r="I3" s="656"/>
      <c r="J3" s="656"/>
      <c r="K3" s="656"/>
      <c r="L3" s="656"/>
      <c r="M3" s="656"/>
      <c r="N3" s="656"/>
      <c r="O3" s="592"/>
    </row>
    <row r="4" spans="1:40" ht="15" customHeight="1">
      <c r="A4" s="656"/>
      <c r="B4" s="656"/>
      <c r="C4" s="656"/>
      <c r="D4" s="656"/>
      <c r="E4" s="656"/>
      <c r="F4" s="656"/>
      <c r="G4" s="656"/>
      <c r="H4" s="656"/>
      <c r="I4" s="656"/>
      <c r="J4" s="656"/>
      <c r="K4" s="656"/>
      <c r="L4" s="656"/>
      <c r="M4" s="656"/>
      <c r="N4" s="656"/>
      <c r="O4" s="592"/>
    </row>
    <row r="5" spans="1:40" ht="15" customHeight="1">
      <c r="A5" s="655" t="s">
        <v>621</v>
      </c>
      <c r="B5" s="656"/>
      <c r="C5" s="656"/>
      <c r="D5" s="656"/>
      <c r="E5" s="656"/>
      <c r="F5" s="656"/>
      <c r="G5" s="656"/>
      <c r="H5" s="656"/>
      <c r="I5" s="656"/>
      <c r="J5" s="656"/>
      <c r="K5" s="656"/>
      <c r="L5" s="656"/>
      <c r="M5" s="656"/>
      <c r="N5" s="656"/>
      <c r="O5" s="657"/>
      <c r="P5" s="399"/>
      <c r="Q5" s="399"/>
      <c r="R5" s="399"/>
      <c r="S5" s="399"/>
      <c r="T5" s="399"/>
      <c r="U5" s="399"/>
    </row>
    <row r="6" spans="1:40" ht="15" customHeight="1">
      <c r="A6" s="656"/>
      <c r="B6" s="656"/>
      <c r="C6" s="656"/>
      <c r="D6" s="656"/>
      <c r="E6" s="656"/>
      <c r="F6" s="656"/>
      <c r="G6" s="656"/>
      <c r="H6" s="656"/>
      <c r="I6" s="656"/>
      <c r="J6" s="656"/>
      <c r="K6" s="656"/>
      <c r="L6" s="656"/>
      <c r="M6" s="656"/>
      <c r="N6" s="656"/>
      <c r="O6" s="657"/>
      <c r="P6" s="399"/>
      <c r="Q6" s="399"/>
      <c r="R6" s="399"/>
      <c r="S6" s="399"/>
      <c r="T6" s="399"/>
      <c r="U6" s="399"/>
      <c r="X6" s="665" t="s">
        <v>827</v>
      </c>
      <c r="Y6" s="665" t="s">
        <v>826</v>
      </c>
      <c r="Z6" s="462" t="s">
        <v>825</v>
      </c>
      <c r="AA6" s="646"/>
      <c r="AB6" s="646"/>
      <c r="AC6" s="462" t="s">
        <v>611</v>
      </c>
      <c r="AD6" s="646"/>
      <c r="AE6" s="646"/>
      <c r="AF6" s="462" t="s">
        <v>612</v>
      </c>
      <c r="AG6" s="646"/>
      <c r="AH6" s="646"/>
      <c r="AI6" s="462" t="s">
        <v>614</v>
      </c>
      <c r="AJ6" s="646"/>
      <c r="AK6" s="646"/>
      <c r="AL6" s="462" t="s">
        <v>613</v>
      </c>
      <c r="AM6" s="646"/>
      <c r="AN6" s="646"/>
    </row>
    <row r="7" spans="1:40" ht="15" customHeight="1">
      <c r="A7" s="655" t="s">
        <v>620</v>
      </c>
      <c r="B7" s="656"/>
      <c r="C7" s="656"/>
      <c r="D7" s="656"/>
      <c r="E7" s="656"/>
      <c r="F7" s="656"/>
      <c r="G7" s="656"/>
      <c r="H7" s="656"/>
      <c r="I7" s="656"/>
      <c r="J7" s="656"/>
      <c r="K7" s="656"/>
      <c r="L7" s="656"/>
      <c r="M7" s="656"/>
      <c r="N7" s="656"/>
      <c r="O7" s="657"/>
      <c r="P7" s="399"/>
      <c r="Q7" s="399"/>
      <c r="R7" s="399"/>
      <c r="S7" s="399"/>
      <c r="T7" s="399"/>
      <c r="U7" s="399"/>
      <c r="X7" s="666"/>
      <c r="Y7" s="666"/>
      <c r="Z7" s="390" t="s">
        <v>828</v>
      </c>
      <c r="AA7" s="390" t="s">
        <v>829</v>
      </c>
      <c r="AB7" s="390" t="s">
        <v>830</v>
      </c>
      <c r="AC7" s="390" t="s">
        <v>828</v>
      </c>
      <c r="AD7" s="390" t="s">
        <v>829</v>
      </c>
      <c r="AE7" s="390" t="s">
        <v>830</v>
      </c>
      <c r="AF7" s="390" t="s">
        <v>828</v>
      </c>
      <c r="AG7" s="390" t="s">
        <v>829</v>
      </c>
      <c r="AH7" s="390" t="s">
        <v>830</v>
      </c>
      <c r="AI7" s="390" t="s">
        <v>828</v>
      </c>
      <c r="AJ7" s="390" t="s">
        <v>829</v>
      </c>
      <c r="AK7" s="390" t="s">
        <v>830</v>
      </c>
      <c r="AL7" s="390" t="s">
        <v>828</v>
      </c>
      <c r="AM7" s="390" t="s">
        <v>829</v>
      </c>
      <c r="AN7" s="390" t="s">
        <v>830</v>
      </c>
    </row>
    <row r="8" spans="1:40" ht="15" customHeight="1">
      <c r="A8" s="656"/>
      <c r="B8" s="656"/>
      <c r="C8" s="656"/>
      <c r="D8" s="656"/>
      <c r="E8" s="656"/>
      <c r="F8" s="656"/>
      <c r="G8" s="656"/>
      <c r="H8" s="656"/>
      <c r="I8" s="656"/>
      <c r="J8" s="656"/>
      <c r="K8" s="656"/>
      <c r="L8" s="656"/>
      <c r="M8" s="656"/>
      <c r="N8" s="656"/>
      <c r="O8" s="657"/>
      <c r="P8" s="398"/>
      <c r="Q8" s="398"/>
      <c r="R8" s="398"/>
      <c r="S8" s="398"/>
      <c r="T8" s="398"/>
      <c r="U8" s="398"/>
      <c r="X8" s="123" t="s">
        <v>822</v>
      </c>
      <c r="Y8" s="295">
        <f>はじめに入力してください!K12</f>
        <v>0</v>
      </c>
      <c r="Z8" s="294">
        <f>IFERROR(ROUNDUP($B$42/Y8,4),0)</f>
        <v>0</v>
      </c>
      <c r="AA8" s="294">
        <f>IFERROR(ROUNDUP($I$42/Y8,4),0)</f>
        <v>0</v>
      </c>
      <c r="AB8" s="294">
        <f>IFERROR(ROUNDUP($P$42/Y8,4),0)</f>
        <v>0</v>
      </c>
      <c r="AC8" s="294">
        <f>IFERROR(ROUNDUP($C$42/Y8,4),)</f>
        <v>0</v>
      </c>
      <c r="AD8" s="294">
        <f>IFERROR(ROUNDUP($J$42/Y8,4),0)</f>
        <v>0</v>
      </c>
      <c r="AE8" s="294">
        <f>IFERROR(ROUNDUP($Q$42/Y8,4),0)</f>
        <v>0</v>
      </c>
      <c r="AF8" s="294">
        <f>IFERROR(ROUNDUP($D$42/Y8,4),0)</f>
        <v>0</v>
      </c>
      <c r="AG8" s="294">
        <f>IFERROR(ROUNDUP($K$42/Y8,4),0)</f>
        <v>0</v>
      </c>
      <c r="AH8" s="294">
        <f>IFERROR(ROUNDUP($R$42/Y8,4),)</f>
        <v>0</v>
      </c>
      <c r="AI8" s="294">
        <f>IFERROR(ROUNDUP($E$42/Y8,4),0)</f>
        <v>0</v>
      </c>
      <c r="AJ8" s="294">
        <f>IFERROR(ROUNDUP($L$42/Y8,4),0)</f>
        <v>0</v>
      </c>
      <c r="AK8" s="294">
        <f>IFERROR(ROUNDUP($S$42/Y8,4),0)</f>
        <v>0</v>
      </c>
      <c r="AL8" s="294">
        <f>IFERROR(ROUNDUP($F$42/Y8,4),0)</f>
        <v>0</v>
      </c>
      <c r="AM8" s="294">
        <f>IFERROR(ROUNDUP($M$42/Y8,4),)</f>
        <v>0</v>
      </c>
      <c r="AN8" s="294">
        <f>IFERROR(ROUNDUP($T$42/Y8,4),0)</f>
        <v>0</v>
      </c>
    </row>
    <row r="9" spans="1:40" ht="15" customHeight="1">
      <c r="A9" s="660" t="s">
        <v>618</v>
      </c>
      <c r="B9" s="662" t="s">
        <v>610</v>
      </c>
      <c r="C9" s="663"/>
      <c r="D9" s="663"/>
      <c r="E9" s="663"/>
      <c r="F9" s="663"/>
      <c r="G9" s="664"/>
      <c r="H9" s="660" t="s">
        <v>618</v>
      </c>
      <c r="I9" s="662" t="s">
        <v>610</v>
      </c>
      <c r="J9" s="663"/>
      <c r="K9" s="663"/>
      <c r="L9" s="663"/>
      <c r="M9" s="663"/>
      <c r="N9" s="664"/>
      <c r="O9" s="660" t="s">
        <v>618</v>
      </c>
      <c r="P9" s="662" t="s">
        <v>610</v>
      </c>
      <c r="Q9" s="663"/>
      <c r="R9" s="663"/>
      <c r="S9" s="663"/>
      <c r="T9" s="663"/>
      <c r="U9" s="664"/>
      <c r="X9" s="123" t="s">
        <v>823</v>
      </c>
      <c r="Y9" s="295">
        <f>はじめに入力してください!K13</f>
        <v>0</v>
      </c>
      <c r="Z9" s="294">
        <f>IFERROR(ROUNDUP($B$42/Y9,4),0)</f>
        <v>0</v>
      </c>
      <c r="AA9" s="294">
        <f>IFERROR(ROUNDUP($I$42/Y9,4),0)</f>
        <v>0</v>
      </c>
      <c r="AB9" s="294">
        <f>IFERROR(ROUNDUP($P$42/Y9,4),0)</f>
        <v>0</v>
      </c>
      <c r="AC9" s="294">
        <f>IFERROR(ROUNDUP($C$42/Y9,4),)</f>
        <v>0</v>
      </c>
      <c r="AD9" s="294">
        <f>IFERROR(ROUNDUP($J$42/Y9,4),0)</f>
        <v>0</v>
      </c>
      <c r="AE9" s="294">
        <f>IFERROR(ROUNDUP($Q$42/Y9,4),0)</f>
        <v>0</v>
      </c>
      <c r="AF9" s="294">
        <f>IFERROR(ROUNDUP($D$42/Y9,4),0)</f>
        <v>0</v>
      </c>
      <c r="AG9" s="294">
        <f>IFERROR(ROUNDUP($K$42/Y9,4),0)</f>
        <v>0</v>
      </c>
      <c r="AH9" s="294">
        <f>IFERROR(ROUNDUP($R$42/Y9,4),)</f>
        <v>0</v>
      </c>
      <c r="AI9" s="294">
        <f>IFERROR(ROUNDUP($E$42/Y9,4),0)</f>
        <v>0</v>
      </c>
      <c r="AJ9" s="294">
        <f>IFERROR(ROUNDUP($L$42/Y9,4),0)</f>
        <v>0</v>
      </c>
      <c r="AK9" s="294">
        <f>IFERROR(ROUNDUP($S$42/Y9,4),0)</f>
        <v>0</v>
      </c>
      <c r="AL9" s="294">
        <f>IFERROR(ROUNDUP($F$42/Y9,4),0)</f>
        <v>0</v>
      </c>
      <c r="AM9" s="294">
        <f>IFERROR(ROUNDUP($M$42/Y9,4),)</f>
        <v>0</v>
      </c>
      <c r="AN9" s="294">
        <f>IFERROR(ROUNDUP($T$42/Y9,4),0)</f>
        <v>0</v>
      </c>
    </row>
    <row r="10" spans="1:40" s="110" customFormat="1" ht="15" customHeight="1">
      <c r="A10" s="661"/>
      <c r="B10" s="288"/>
      <c r="C10" s="290" t="s">
        <v>611</v>
      </c>
      <c r="D10" s="290" t="s">
        <v>612</v>
      </c>
      <c r="E10" s="289" t="s">
        <v>614</v>
      </c>
      <c r="F10" s="290" t="s">
        <v>613</v>
      </c>
      <c r="G10" s="289" t="s">
        <v>450</v>
      </c>
      <c r="H10" s="661"/>
      <c r="I10" s="288"/>
      <c r="J10" s="290" t="s">
        <v>611</v>
      </c>
      <c r="K10" s="290" t="s">
        <v>612</v>
      </c>
      <c r="L10" s="289" t="s">
        <v>614</v>
      </c>
      <c r="M10" s="290" t="s">
        <v>613</v>
      </c>
      <c r="N10" s="289" t="s">
        <v>450</v>
      </c>
      <c r="O10" s="661"/>
      <c r="P10" s="288"/>
      <c r="Q10" s="290" t="s">
        <v>611</v>
      </c>
      <c r="R10" s="290" t="s">
        <v>612</v>
      </c>
      <c r="S10" s="289" t="s">
        <v>614</v>
      </c>
      <c r="T10" s="290" t="s">
        <v>613</v>
      </c>
      <c r="U10" s="289" t="s">
        <v>450</v>
      </c>
      <c r="X10" s="123" t="s">
        <v>821</v>
      </c>
      <c r="Y10" s="456"/>
      <c r="Z10" s="294">
        <f>IFERROR(ROUNDUP($B$42/Y10,4),0)</f>
        <v>0</v>
      </c>
      <c r="AA10" s="294">
        <f>IFERROR(ROUNDUP($I$42/Y10,4),0)</f>
        <v>0</v>
      </c>
      <c r="AB10" s="294">
        <f>IFERROR(ROUNDUP($P$42/Y10,4),0)</f>
        <v>0</v>
      </c>
      <c r="AC10" s="294">
        <f>IFERROR(ROUNDUP($C$42/Y10,4),)</f>
        <v>0</v>
      </c>
      <c r="AD10" s="294">
        <f>IFERROR(ROUNDUP($J$42/Y10,4),0)</f>
        <v>0</v>
      </c>
      <c r="AE10" s="294">
        <f>IFERROR(ROUNDUP($Q$42/Y10,4),0)</f>
        <v>0</v>
      </c>
      <c r="AF10" s="294">
        <f>IFERROR(ROUNDUP($D$42/Y10,4),0)</f>
        <v>0</v>
      </c>
      <c r="AG10" s="294">
        <f>IFERROR(ROUNDUP($K$42/Y10,4),0)</f>
        <v>0</v>
      </c>
      <c r="AH10" s="294">
        <f>IFERROR(ROUNDUP($R$42/Y10,4),)</f>
        <v>0</v>
      </c>
      <c r="AI10" s="294">
        <f>IFERROR(ROUNDUP($E$42/Y10,4),0)</f>
        <v>0</v>
      </c>
      <c r="AJ10" s="294">
        <f>IFERROR(ROUNDUP($L$42/Y10,4),0)</f>
        <v>0</v>
      </c>
      <c r="AK10" s="294">
        <f>IFERROR(ROUNDUP($S$42/Y10,4),0)</f>
        <v>0</v>
      </c>
      <c r="AL10" s="294">
        <f>IFERROR(ROUNDUP($F$42/Y10,4),0)</f>
        <v>0</v>
      </c>
      <c r="AM10" s="294">
        <f>IFERROR(ROUNDUP($M$42/Y10,4),)</f>
        <v>0</v>
      </c>
      <c r="AN10" s="294">
        <f>IFERROR(ROUNDUP($T$42/Y10,4),0)</f>
        <v>0</v>
      </c>
    </row>
    <row r="11" spans="1:40" ht="15" customHeight="1">
      <c r="A11" s="291">
        <v>44774</v>
      </c>
      <c r="B11" s="452">
        <f>SUM(C11:F11)</f>
        <v>4</v>
      </c>
      <c r="C11" s="454">
        <v>1</v>
      </c>
      <c r="D11" s="454">
        <v>1</v>
      </c>
      <c r="E11" s="454">
        <v>1</v>
      </c>
      <c r="F11" s="454">
        <v>1</v>
      </c>
      <c r="G11" s="289" t="str">
        <f>IF(AND(COUNTA(C11:F11)=4,B11&lt;=$Y$8),"○","×")</f>
        <v>×</v>
      </c>
      <c r="H11" s="291">
        <v>44805</v>
      </c>
      <c r="I11" s="292">
        <f t="shared" ref="I11:I40" si="0">SUM(J11:M11)</f>
        <v>4</v>
      </c>
      <c r="J11" s="454">
        <v>1</v>
      </c>
      <c r="K11" s="454">
        <v>1</v>
      </c>
      <c r="L11" s="454">
        <v>1</v>
      </c>
      <c r="M11" s="454">
        <v>1</v>
      </c>
      <c r="N11" s="289" t="str">
        <f>IF(AND(COUNTA(J11:M11)=4,I11&lt;=$Y$8),"○","×")</f>
        <v>×</v>
      </c>
      <c r="O11" s="291">
        <v>44835</v>
      </c>
      <c r="P11" s="292">
        <f t="shared" ref="P11:P41" si="1">SUM(Q11:T11)</f>
        <v>4</v>
      </c>
      <c r="Q11" s="454">
        <v>1</v>
      </c>
      <c r="R11" s="454">
        <v>1</v>
      </c>
      <c r="S11" s="454">
        <v>1</v>
      </c>
      <c r="T11" s="454">
        <v>1</v>
      </c>
      <c r="U11" s="289" t="str">
        <f>IF(AND(COUNTA(Q11:T11)=4,P11&lt;=$Y$8),"○","×")</f>
        <v>×</v>
      </c>
      <c r="X11" s="123" t="s">
        <v>824</v>
      </c>
      <c r="Y11" s="400" t="s">
        <v>831</v>
      </c>
      <c r="Z11" s="294">
        <f>AVERAGE(Z8:Z10)</f>
        <v>0</v>
      </c>
      <c r="AA11" s="294">
        <f t="shared" ref="AA11:AN11" si="2">AVERAGE(AA8:AA10)</f>
        <v>0</v>
      </c>
      <c r="AB11" s="294">
        <f t="shared" si="2"/>
        <v>0</v>
      </c>
      <c r="AC11" s="294">
        <f t="shared" si="2"/>
        <v>0</v>
      </c>
      <c r="AD11" s="294">
        <f t="shared" si="2"/>
        <v>0</v>
      </c>
      <c r="AE11" s="294">
        <f t="shared" si="2"/>
        <v>0</v>
      </c>
      <c r="AF11" s="294">
        <f t="shared" si="2"/>
        <v>0</v>
      </c>
      <c r="AG11" s="294">
        <f t="shared" si="2"/>
        <v>0</v>
      </c>
      <c r="AH11" s="294">
        <f t="shared" si="2"/>
        <v>0</v>
      </c>
      <c r="AI11" s="294">
        <f t="shared" si="2"/>
        <v>0</v>
      </c>
      <c r="AJ11" s="294">
        <f t="shared" si="2"/>
        <v>0</v>
      </c>
      <c r="AK11" s="294">
        <f t="shared" si="2"/>
        <v>0</v>
      </c>
      <c r="AL11" s="294">
        <f t="shared" si="2"/>
        <v>0</v>
      </c>
      <c r="AM11" s="294">
        <f t="shared" si="2"/>
        <v>0</v>
      </c>
      <c r="AN11" s="294">
        <f t="shared" si="2"/>
        <v>0</v>
      </c>
    </row>
    <row r="12" spans="1:40" ht="15" customHeight="1">
      <c r="A12" s="291">
        <v>44775</v>
      </c>
      <c r="B12" s="452">
        <f t="shared" ref="B12:B41" si="3">SUM(C12:F12)</f>
        <v>4</v>
      </c>
      <c r="C12" s="454">
        <v>1</v>
      </c>
      <c r="D12" s="454">
        <v>1</v>
      </c>
      <c r="E12" s="454">
        <v>1</v>
      </c>
      <c r="F12" s="454">
        <v>1</v>
      </c>
      <c r="G12" s="289" t="str">
        <f t="shared" ref="G12:G41" si="4">IF(AND(COUNTA(C12:F12)=4,B12&lt;=$Y$8),"○","×")</f>
        <v>×</v>
      </c>
      <c r="H12" s="291">
        <v>44806</v>
      </c>
      <c r="I12" s="292">
        <f t="shared" si="0"/>
        <v>4</v>
      </c>
      <c r="J12" s="454">
        <v>1</v>
      </c>
      <c r="K12" s="454">
        <v>1</v>
      </c>
      <c r="L12" s="454">
        <v>1</v>
      </c>
      <c r="M12" s="454">
        <v>1</v>
      </c>
      <c r="N12" s="289" t="str">
        <f t="shared" ref="N12:N40" si="5">IF(AND(COUNTA(J12:M12)=4,I12&lt;=$Y$8),"○","×")</f>
        <v>×</v>
      </c>
      <c r="O12" s="291">
        <v>44836</v>
      </c>
      <c r="P12" s="292">
        <f t="shared" si="1"/>
        <v>4</v>
      </c>
      <c r="Q12" s="454">
        <v>1</v>
      </c>
      <c r="R12" s="454">
        <v>1</v>
      </c>
      <c r="S12" s="454">
        <v>1</v>
      </c>
      <c r="T12" s="454">
        <v>1</v>
      </c>
      <c r="U12" s="289" t="str">
        <f t="shared" ref="U12:U41" si="6">IF(AND(COUNTA(Q12:T12)=4,P12&lt;=$Y$8),"○","×")</f>
        <v>×</v>
      </c>
      <c r="Y12" s="401"/>
      <c r="Z12" s="399"/>
      <c r="AA12" s="399"/>
      <c r="AB12" s="399"/>
      <c r="AC12" s="399"/>
      <c r="AD12" s="399"/>
    </row>
    <row r="13" spans="1:40" ht="15" customHeight="1">
      <c r="A13" s="291">
        <v>44776</v>
      </c>
      <c r="B13" s="452">
        <f t="shared" si="3"/>
        <v>4</v>
      </c>
      <c r="C13" s="454">
        <v>1</v>
      </c>
      <c r="D13" s="454">
        <v>1</v>
      </c>
      <c r="E13" s="454">
        <v>1</v>
      </c>
      <c r="F13" s="454">
        <v>1</v>
      </c>
      <c r="G13" s="289" t="str">
        <f t="shared" si="4"/>
        <v>×</v>
      </c>
      <c r="H13" s="291">
        <v>44807</v>
      </c>
      <c r="I13" s="292">
        <f t="shared" si="0"/>
        <v>4</v>
      </c>
      <c r="J13" s="454">
        <v>1</v>
      </c>
      <c r="K13" s="454">
        <v>1</v>
      </c>
      <c r="L13" s="454">
        <v>1</v>
      </c>
      <c r="M13" s="454">
        <v>1</v>
      </c>
      <c r="N13" s="289" t="str">
        <f t="shared" si="5"/>
        <v>×</v>
      </c>
      <c r="O13" s="291">
        <v>44837</v>
      </c>
      <c r="P13" s="292">
        <f t="shared" si="1"/>
        <v>4</v>
      </c>
      <c r="Q13" s="454">
        <v>1</v>
      </c>
      <c r="R13" s="454">
        <v>1</v>
      </c>
      <c r="S13" s="454">
        <v>1</v>
      </c>
      <c r="T13" s="454">
        <v>1</v>
      </c>
      <c r="U13" s="289" t="str">
        <f t="shared" si="6"/>
        <v>×</v>
      </c>
    </row>
    <row r="14" spans="1:40" ht="15" customHeight="1">
      <c r="A14" s="291">
        <v>44777</v>
      </c>
      <c r="B14" s="452">
        <f t="shared" si="3"/>
        <v>4</v>
      </c>
      <c r="C14" s="454">
        <v>1</v>
      </c>
      <c r="D14" s="454">
        <v>1</v>
      </c>
      <c r="E14" s="454">
        <v>1</v>
      </c>
      <c r="F14" s="454">
        <v>1</v>
      </c>
      <c r="G14" s="289" t="str">
        <f t="shared" si="4"/>
        <v>×</v>
      </c>
      <c r="H14" s="291">
        <v>44808</v>
      </c>
      <c r="I14" s="292">
        <f t="shared" si="0"/>
        <v>4</v>
      </c>
      <c r="J14" s="454">
        <v>1</v>
      </c>
      <c r="K14" s="454">
        <v>1</v>
      </c>
      <c r="L14" s="454">
        <v>1</v>
      </c>
      <c r="M14" s="454">
        <v>1</v>
      </c>
      <c r="N14" s="289" t="str">
        <f t="shared" si="5"/>
        <v>×</v>
      </c>
      <c r="O14" s="291">
        <v>44838</v>
      </c>
      <c r="P14" s="292">
        <f t="shared" si="1"/>
        <v>4</v>
      </c>
      <c r="Q14" s="454">
        <v>1</v>
      </c>
      <c r="R14" s="454">
        <v>1</v>
      </c>
      <c r="S14" s="454">
        <v>1</v>
      </c>
      <c r="T14" s="454">
        <v>1</v>
      </c>
      <c r="U14" s="289" t="str">
        <f t="shared" si="6"/>
        <v>×</v>
      </c>
    </row>
    <row r="15" spans="1:40" ht="15" customHeight="1">
      <c r="A15" s="291">
        <v>44778</v>
      </c>
      <c r="B15" s="452">
        <f t="shared" si="3"/>
        <v>4</v>
      </c>
      <c r="C15" s="454">
        <v>1</v>
      </c>
      <c r="D15" s="454">
        <v>1</v>
      </c>
      <c r="E15" s="454">
        <v>1</v>
      </c>
      <c r="F15" s="454">
        <v>1</v>
      </c>
      <c r="G15" s="289" t="str">
        <f t="shared" si="4"/>
        <v>×</v>
      </c>
      <c r="H15" s="291">
        <v>44809</v>
      </c>
      <c r="I15" s="292">
        <f t="shared" si="0"/>
        <v>4</v>
      </c>
      <c r="J15" s="454">
        <v>1</v>
      </c>
      <c r="K15" s="454">
        <v>1</v>
      </c>
      <c r="L15" s="454">
        <v>1</v>
      </c>
      <c r="M15" s="454">
        <v>1</v>
      </c>
      <c r="N15" s="289" t="str">
        <f t="shared" si="5"/>
        <v>×</v>
      </c>
      <c r="O15" s="291">
        <v>44839</v>
      </c>
      <c r="P15" s="292">
        <f t="shared" si="1"/>
        <v>4</v>
      </c>
      <c r="Q15" s="454">
        <v>1</v>
      </c>
      <c r="R15" s="454">
        <v>1</v>
      </c>
      <c r="S15" s="454">
        <v>1</v>
      </c>
      <c r="T15" s="454">
        <v>1</v>
      </c>
      <c r="U15" s="289" t="str">
        <f t="shared" si="6"/>
        <v>×</v>
      </c>
    </row>
    <row r="16" spans="1:40" ht="15" customHeight="1">
      <c r="A16" s="291">
        <v>44779</v>
      </c>
      <c r="B16" s="452">
        <f t="shared" si="3"/>
        <v>4</v>
      </c>
      <c r="C16" s="454">
        <v>1</v>
      </c>
      <c r="D16" s="454">
        <v>1</v>
      </c>
      <c r="E16" s="454">
        <v>1</v>
      </c>
      <c r="F16" s="454">
        <v>1</v>
      </c>
      <c r="G16" s="289" t="str">
        <f t="shared" si="4"/>
        <v>×</v>
      </c>
      <c r="H16" s="291">
        <v>44810</v>
      </c>
      <c r="I16" s="292">
        <f t="shared" si="0"/>
        <v>4</v>
      </c>
      <c r="J16" s="454">
        <v>1</v>
      </c>
      <c r="K16" s="454">
        <v>1</v>
      </c>
      <c r="L16" s="454">
        <v>1</v>
      </c>
      <c r="M16" s="454">
        <v>1</v>
      </c>
      <c r="N16" s="289" t="str">
        <f t="shared" si="5"/>
        <v>×</v>
      </c>
      <c r="O16" s="291">
        <v>44840</v>
      </c>
      <c r="P16" s="292">
        <f t="shared" si="1"/>
        <v>4</v>
      </c>
      <c r="Q16" s="454">
        <v>1</v>
      </c>
      <c r="R16" s="454">
        <v>1</v>
      </c>
      <c r="S16" s="454">
        <v>1</v>
      </c>
      <c r="T16" s="454">
        <v>1</v>
      </c>
      <c r="U16" s="289" t="str">
        <f t="shared" si="6"/>
        <v>×</v>
      </c>
    </row>
    <row r="17" spans="1:21" ht="15" customHeight="1">
      <c r="A17" s="291">
        <v>44780</v>
      </c>
      <c r="B17" s="452">
        <f t="shared" si="3"/>
        <v>4</v>
      </c>
      <c r="C17" s="454">
        <v>1</v>
      </c>
      <c r="D17" s="454">
        <v>1</v>
      </c>
      <c r="E17" s="454">
        <v>1</v>
      </c>
      <c r="F17" s="454">
        <v>1</v>
      </c>
      <c r="G17" s="289" t="str">
        <f t="shared" si="4"/>
        <v>×</v>
      </c>
      <c r="H17" s="291">
        <v>44811</v>
      </c>
      <c r="I17" s="292">
        <f t="shared" si="0"/>
        <v>4</v>
      </c>
      <c r="J17" s="454">
        <v>1</v>
      </c>
      <c r="K17" s="454">
        <v>1</v>
      </c>
      <c r="L17" s="454">
        <v>1</v>
      </c>
      <c r="M17" s="454">
        <v>1</v>
      </c>
      <c r="N17" s="289" t="str">
        <f t="shared" si="5"/>
        <v>×</v>
      </c>
      <c r="O17" s="291">
        <v>44841</v>
      </c>
      <c r="P17" s="292">
        <f t="shared" si="1"/>
        <v>4</v>
      </c>
      <c r="Q17" s="454">
        <v>1</v>
      </c>
      <c r="R17" s="454">
        <v>1</v>
      </c>
      <c r="S17" s="454">
        <v>1</v>
      </c>
      <c r="T17" s="454">
        <v>1</v>
      </c>
      <c r="U17" s="289" t="str">
        <f t="shared" si="6"/>
        <v>×</v>
      </c>
    </row>
    <row r="18" spans="1:21" ht="15" customHeight="1">
      <c r="A18" s="291">
        <v>44781</v>
      </c>
      <c r="B18" s="452">
        <f t="shared" si="3"/>
        <v>4</v>
      </c>
      <c r="C18" s="454">
        <v>1</v>
      </c>
      <c r="D18" s="454">
        <v>1</v>
      </c>
      <c r="E18" s="454">
        <v>1</v>
      </c>
      <c r="F18" s="454">
        <v>1</v>
      </c>
      <c r="G18" s="289" t="str">
        <f t="shared" si="4"/>
        <v>×</v>
      </c>
      <c r="H18" s="291">
        <v>44812</v>
      </c>
      <c r="I18" s="292">
        <f t="shared" si="0"/>
        <v>4</v>
      </c>
      <c r="J18" s="454">
        <v>1</v>
      </c>
      <c r="K18" s="454">
        <v>1</v>
      </c>
      <c r="L18" s="454">
        <v>1</v>
      </c>
      <c r="M18" s="454">
        <v>1</v>
      </c>
      <c r="N18" s="289" t="str">
        <f t="shared" si="5"/>
        <v>×</v>
      </c>
      <c r="O18" s="291">
        <v>44842</v>
      </c>
      <c r="P18" s="292">
        <f t="shared" si="1"/>
        <v>4</v>
      </c>
      <c r="Q18" s="454">
        <v>1</v>
      </c>
      <c r="R18" s="454">
        <v>1</v>
      </c>
      <c r="S18" s="454">
        <v>1</v>
      </c>
      <c r="T18" s="454">
        <v>1</v>
      </c>
      <c r="U18" s="289" t="str">
        <f t="shared" si="6"/>
        <v>×</v>
      </c>
    </row>
    <row r="19" spans="1:21" ht="15" customHeight="1">
      <c r="A19" s="291">
        <v>44782</v>
      </c>
      <c r="B19" s="452">
        <f t="shared" si="3"/>
        <v>4</v>
      </c>
      <c r="C19" s="454">
        <v>1</v>
      </c>
      <c r="D19" s="454">
        <v>1</v>
      </c>
      <c r="E19" s="454">
        <v>1</v>
      </c>
      <c r="F19" s="454">
        <v>1</v>
      </c>
      <c r="G19" s="289" t="str">
        <f t="shared" si="4"/>
        <v>×</v>
      </c>
      <c r="H19" s="291">
        <v>44813</v>
      </c>
      <c r="I19" s="292">
        <f t="shared" si="0"/>
        <v>4</v>
      </c>
      <c r="J19" s="454">
        <v>1</v>
      </c>
      <c r="K19" s="454">
        <v>1</v>
      </c>
      <c r="L19" s="454">
        <v>1</v>
      </c>
      <c r="M19" s="454">
        <v>1</v>
      </c>
      <c r="N19" s="289" t="str">
        <f t="shared" si="5"/>
        <v>×</v>
      </c>
      <c r="O19" s="291">
        <v>44843</v>
      </c>
      <c r="P19" s="292">
        <f t="shared" si="1"/>
        <v>4</v>
      </c>
      <c r="Q19" s="454">
        <v>1</v>
      </c>
      <c r="R19" s="454">
        <v>1</v>
      </c>
      <c r="S19" s="454">
        <v>1</v>
      </c>
      <c r="T19" s="454">
        <v>1</v>
      </c>
      <c r="U19" s="289" t="str">
        <f t="shared" si="6"/>
        <v>×</v>
      </c>
    </row>
    <row r="20" spans="1:21" ht="15" customHeight="1">
      <c r="A20" s="291">
        <v>44783</v>
      </c>
      <c r="B20" s="452">
        <f t="shared" si="3"/>
        <v>4</v>
      </c>
      <c r="C20" s="454">
        <v>1</v>
      </c>
      <c r="D20" s="454">
        <v>1</v>
      </c>
      <c r="E20" s="454">
        <v>1</v>
      </c>
      <c r="F20" s="454">
        <v>1</v>
      </c>
      <c r="G20" s="289" t="str">
        <f t="shared" si="4"/>
        <v>×</v>
      </c>
      <c r="H20" s="291">
        <v>44814</v>
      </c>
      <c r="I20" s="292">
        <f t="shared" si="0"/>
        <v>4</v>
      </c>
      <c r="J20" s="454">
        <v>1</v>
      </c>
      <c r="K20" s="454">
        <v>1</v>
      </c>
      <c r="L20" s="454">
        <v>1</v>
      </c>
      <c r="M20" s="454">
        <v>1</v>
      </c>
      <c r="N20" s="289" t="str">
        <f t="shared" si="5"/>
        <v>×</v>
      </c>
      <c r="O20" s="291">
        <v>44844</v>
      </c>
      <c r="P20" s="292">
        <f t="shared" si="1"/>
        <v>4</v>
      </c>
      <c r="Q20" s="454">
        <v>1</v>
      </c>
      <c r="R20" s="454">
        <v>1</v>
      </c>
      <c r="S20" s="454">
        <v>1</v>
      </c>
      <c r="T20" s="454">
        <v>1</v>
      </c>
      <c r="U20" s="289" t="str">
        <f t="shared" si="6"/>
        <v>×</v>
      </c>
    </row>
    <row r="21" spans="1:21" ht="15" customHeight="1">
      <c r="A21" s="291">
        <v>44784</v>
      </c>
      <c r="B21" s="452">
        <f t="shared" si="3"/>
        <v>4</v>
      </c>
      <c r="C21" s="454">
        <v>1</v>
      </c>
      <c r="D21" s="454">
        <v>1</v>
      </c>
      <c r="E21" s="454">
        <v>1</v>
      </c>
      <c r="F21" s="454">
        <v>1</v>
      </c>
      <c r="G21" s="289" t="str">
        <f t="shared" si="4"/>
        <v>×</v>
      </c>
      <c r="H21" s="291">
        <v>44815</v>
      </c>
      <c r="I21" s="292">
        <f t="shared" si="0"/>
        <v>4</v>
      </c>
      <c r="J21" s="454">
        <v>1</v>
      </c>
      <c r="K21" s="454">
        <v>1</v>
      </c>
      <c r="L21" s="454">
        <v>1</v>
      </c>
      <c r="M21" s="454">
        <v>1</v>
      </c>
      <c r="N21" s="289" t="str">
        <f t="shared" si="5"/>
        <v>×</v>
      </c>
      <c r="O21" s="291">
        <v>44845</v>
      </c>
      <c r="P21" s="292">
        <f t="shared" si="1"/>
        <v>4</v>
      </c>
      <c r="Q21" s="454">
        <v>1</v>
      </c>
      <c r="R21" s="454">
        <v>1</v>
      </c>
      <c r="S21" s="454">
        <v>1</v>
      </c>
      <c r="T21" s="454">
        <v>1</v>
      </c>
      <c r="U21" s="289" t="str">
        <f t="shared" si="6"/>
        <v>×</v>
      </c>
    </row>
    <row r="22" spans="1:21" ht="15" customHeight="1">
      <c r="A22" s="291">
        <v>44785</v>
      </c>
      <c r="B22" s="452">
        <f t="shared" si="3"/>
        <v>4</v>
      </c>
      <c r="C22" s="454">
        <v>1</v>
      </c>
      <c r="D22" s="454">
        <v>1</v>
      </c>
      <c r="E22" s="454">
        <v>1</v>
      </c>
      <c r="F22" s="454">
        <v>1</v>
      </c>
      <c r="G22" s="289" t="str">
        <f t="shared" si="4"/>
        <v>×</v>
      </c>
      <c r="H22" s="291">
        <v>44816</v>
      </c>
      <c r="I22" s="292">
        <f t="shared" si="0"/>
        <v>4</v>
      </c>
      <c r="J22" s="454">
        <v>1</v>
      </c>
      <c r="K22" s="454">
        <v>1</v>
      </c>
      <c r="L22" s="454">
        <v>1</v>
      </c>
      <c r="M22" s="454">
        <v>1</v>
      </c>
      <c r="N22" s="289" t="str">
        <f t="shared" si="5"/>
        <v>×</v>
      </c>
      <c r="O22" s="291">
        <v>44846</v>
      </c>
      <c r="P22" s="292">
        <f t="shared" si="1"/>
        <v>4</v>
      </c>
      <c r="Q22" s="454">
        <v>1</v>
      </c>
      <c r="R22" s="454">
        <v>1</v>
      </c>
      <c r="S22" s="454">
        <v>1</v>
      </c>
      <c r="T22" s="454">
        <v>1</v>
      </c>
      <c r="U22" s="289" t="str">
        <f t="shared" si="6"/>
        <v>×</v>
      </c>
    </row>
    <row r="23" spans="1:21" ht="15" customHeight="1">
      <c r="A23" s="291">
        <v>44786</v>
      </c>
      <c r="B23" s="452">
        <f t="shared" si="3"/>
        <v>4</v>
      </c>
      <c r="C23" s="454">
        <v>1</v>
      </c>
      <c r="D23" s="454">
        <v>1</v>
      </c>
      <c r="E23" s="454">
        <v>1</v>
      </c>
      <c r="F23" s="454">
        <v>1</v>
      </c>
      <c r="G23" s="289" t="str">
        <f t="shared" si="4"/>
        <v>×</v>
      </c>
      <c r="H23" s="291">
        <v>44817</v>
      </c>
      <c r="I23" s="292">
        <f t="shared" si="0"/>
        <v>4</v>
      </c>
      <c r="J23" s="454">
        <v>1</v>
      </c>
      <c r="K23" s="454">
        <v>1</v>
      </c>
      <c r="L23" s="454">
        <v>1</v>
      </c>
      <c r="M23" s="454">
        <v>1</v>
      </c>
      <c r="N23" s="289" t="str">
        <f t="shared" si="5"/>
        <v>×</v>
      </c>
      <c r="O23" s="291">
        <v>44847</v>
      </c>
      <c r="P23" s="292">
        <f t="shared" si="1"/>
        <v>4</v>
      </c>
      <c r="Q23" s="454">
        <v>1</v>
      </c>
      <c r="R23" s="454">
        <v>1</v>
      </c>
      <c r="S23" s="454">
        <v>1</v>
      </c>
      <c r="T23" s="454">
        <v>1</v>
      </c>
      <c r="U23" s="289" t="str">
        <f t="shared" si="6"/>
        <v>×</v>
      </c>
    </row>
    <row r="24" spans="1:21" ht="15" customHeight="1">
      <c r="A24" s="291">
        <v>44787</v>
      </c>
      <c r="B24" s="452">
        <f t="shared" si="3"/>
        <v>4</v>
      </c>
      <c r="C24" s="454">
        <v>1</v>
      </c>
      <c r="D24" s="454">
        <v>1</v>
      </c>
      <c r="E24" s="454">
        <v>1</v>
      </c>
      <c r="F24" s="454">
        <v>1</v>
      </c>
      <c r="G24" s="289" t="str">
        <f t="shared" si="4"/>
        <v>×</v>
      </c>
      <c r="H24" s="291">
        <v>44818</v>
      </c>
      <c r="I24" s="292">
        <f t="shared" si="0"/>
        <v>4</v>
      </c>
      <c r="J24" s="454">
        <v>1</v>
      </c>
      <c r="K24" s="454">
        <v>1</v>
      </c>
      <c r="L24" s="454">
        <v>1</v>
      </c>
      <c r="M24" s="454">
        <v>1</v>
      </c>
      <c r="N24" s="289" t="str">
        <f t="shared" si="5"/>
        <v>×</v>
      </c>
      <c r="O24" s="291">
        <v>44848</v>
      </c>
      <c r="P24" s="292">
        <f t="shared" si="1"/>
        <v>4</v>
      </c>
      <c r="Q24" s="454">
        <v>1</v>
      </c>
      <c r="R24" s="454">
        <v>1</v>
      </c>
      <c r="S24" s="454">
        <v>1</v>
      </c>
      <c r="T24" s="454">
        <v>1</v>
      </c>
      <c r="U24" s="289" t="str">
        <f t="shared" si="6"/>
        <v>×</v>
      </c>
    </row>
    <row r="25" spans="1:21" ht="15" customHeight="1">
      <c r="A25" s="291">
        <v>44788</v>
      </c>
      <c r="B25" s="452">
        <f t="shared" si="3"/>
        <v>4</v>
      </c>
      <c r="C25" s="454">
        <v>1</v>
      </c>
      <c r="D25" s="454">
        <v>1</v>
      </c>
      <c r="E25" s="454">
        <v>1</v>
      </c>
      <c r="F25" s="454">
        <v>1</v>
      </c>
      <c r="G25" s="289" t="str">
        <f t="shared" si="4"/>
        <v>×</v>
      </c>
      <c r="H25" s="291">
        <v>44819</v>
      </c>
      <c r="I25" s="292">
        <f t="shared" si="0"/>
        <v>4</v>
      </c>
      <c r="J25" s="454">
        <v>1</v>
      </c>
      <c r="K25" s="454">
        <v>1</v>
      </c>
      <c r="L25" s="454">
        <v>1</v>
      </c>
      <c r="M25" s="454">
        <v>1</v>
      </c>
      <c r="N25" s="289" t="str">
        <f t="shared" si="5"/>
        <v>×</v>
      </c>
      <c r="O25" s="291">
        <v>44849</v>
      </c>
      <c r="P25" s="292">
        <f t="shared" si="1"/>
        <v>4</v>
      </c>
      <c r="Q25" s="454">
        <v>1</v>
      </c>
      <c r="R25" s="454">
        <v>1</v>
      </c>
      <c r="S25" s="454">
        <v>1</v>
      </c>
      <c r="T25" s="454">
        <v>1</v>
      </c>
      <c r="U25" s="289" t="str">
        <f t="shared" si="6"/>
        <v>×</v>
      </c>
    </row>
    <row r="26" spans="1:21" ht="15" customHeight="1">
      <c r="A26" s="291">
        <v>44789</v>
      </c>
      <c r="B26" s="452">
        <f t="shared" si="3"/>
        <v>4</v>
      </c>
      <c r="C26" s="454">
        <v>1</v>
      </c>
      <c r="D26" s="454">
        <v>1</v>
      </c>
      <c r="E26" s="454">
        <v>1</v>
      </c>
      <c r="F26" s="454">
        <v>1</v>
      </c>
      <c r="G26" s="289" t="str">
        <f t="shared" si="4"/>
        <v>×</v>
      </c>
      <c r="H26" s="291">
        <v>44820</v>
      </c>
      <c r="I26" s="292">
        <f t="shared" si="0"/>
        <v>4</v>
      </c>
      <c r="J26" s="454">
        <v>1</v>
      </c>
      <c r="K26" s="454">
        <v>1</v>
      </c>
      <c r="L26" s="454">
        <v>1</v>
      </c>
      <c r="M26" s="454">
        <v>1</v>
      </c>
      <c r="N26" s="289" t="str">
        <f t="shared" si="5"/>
        <v>×</v>
      </c>
      <c r="O26" s="291">
        <v>44850</v>
      </c>
      <c r="P26" s="292">
        <f t="shared" si="1"/>
        <v>4</v>
      </c>
      <c r="Q26" s="454">
        <v>1</v>
      </c>
      <c r="R26" s="454">
        <v>1</v>
      </c>
      <c r="S26" s="454">
        <v>1</v>
      </c>
      <c r="T26" s="454">
        <v>1</v>
      </c>
      <c r="U26" s="289" t="str">
        <f t="shared" si="6"/>
        <v>×</v>
      </c>
    </row>
    <row r="27" spans="1:21" ht="15" customHeight="1">
      <c r="A27" s="291">
        <v>44790</v>
      </c>
      <c r="B27" s="452">
        <f t="shared" si="3"/>
        <v>4</v>
      </c>
      <c r="C27" s="454">
        <v>1</v>
      </c>
      <c r="D27" s="454">
        <v>1</v>
      </c>
      <c r="E27" s="454">
        <v>1</v>
      </c>
      <c r="F27" s="454">
        <v>1</v>
      </c>
      <c r="G27" s="289" t="str">
        <f t="shared" si="4"/>
        <v>×</v>
      </c>
      <c r="H27" s="291">
        <v>44821</v>
      </c>
      <c r="I27" s="292">
        <f t="shared" si="0"/>
        <v>4</v>
      </c>
      <c r="J27" s="454">
        <v>1</v>
      </c>
      <c r="K27" s="454">
        <v>1</v>
      </c>
      <c r="L27" s="454">
        <v>1</v>
      </c>
      <c r="M27" s="454">
        <v>1</v>
      </c>
      <c r="N27" s="289" t="str">
        <f t="shared" si="5"/>
        <v>×</v>
      </c>
      <c r="O27" s="291">
        <v>44851</v>
      </c>
      <c r="P27" s="292">
        <f t="shared" si="1"/>
        <v>4</v>
      </c>
      <c r="Q27" s="454">
        <v>1</v>
      </c>
      <c r="R27" s="454">
        <v>1</v>
      </c>
      <c r="S27" s="454">
        <v>1</v>
      </c>
      <c r="T27" s="454">
        <v>1</v>
      </c>
      <c r="U27" s="289" t="str">
        <f t="shared" si="6"/>
        <v>×</v>
      </c>
    </row>
    <row r="28" spans="1:21" ht="15" customHeight="1">
      <c r="A28" s="291">
        <v>44791</v>
      </c>
      <c r="B28" s="452">
        <f t="shared" si="3"/>
        <v>4</v>
      </c>
      <c r="C28" s="454">
        <v>1</v>
      </c>
      <c r="D28" s="454">
        <v>1</v>
      </c>
      <c r="E28" s="454">
        <v>1</v>
      </c>
      <c r="F28" s="454">
        <v>1</v>
      </c>
      <c r="G28" s="289" t="str">
        <f t="shared" si="4"/>
        <v>×</v>
      </c>
      <c r="H28" s="291">
        <v>44822</v>
      </c>
      <c r="I28" s="292">
        <f t="shared" si="0"/>
        <v>4</v>
      </c>
      <c r="J28" s="454">
        <v>1</v>
      </c>
      <c r="K28" s="454">
        <v>1</v>
      </c>
      <c r="L28" s="454">
        <v>1</v>
      </c>
      <c r="M28" s="454">
        <v>1</v>
      </c>
      <c r="N28" s="289" t="str">
        <f t="shared" si="5"/>
        <v>×</v>
      </c>
      <c r="O28" s="291">
        <v>44852</v>
      </c>
      <c r="P28" s="292">
        <f t="shared" si="1"/>
        <v>4</v>
      </c>
      <c r="Q28" s="454">
        <v>1</v>
      </c>
      <c r="R28" s="454">
        <v>1</v>
      </c>
      <c r="S28" s="454">
        <v>1</v>
      </c>
      <c r="T28" s="454">
        <v>1</v>
      </c>
      <c r="U28" s="289" t="str">
        <f t="shared" si="6"/>
        <v>×</v>
      </c>
    </row>
    <row r="29" spans="1:21" ht="15" customHeight="1">
      <c r="A29" s="291">
        <v>44792</v>
      </c>
      <c r="B29" s="452">
        <f t="shared" si="3"/>
        <v>4</v>
      </c>
      <c r="C29" s="454">
        <v>1</v>
      </c>
      <c r="D29" s="454">
        <v>1</v>
      </c>
      <c r="E29" s="454">
        <v>1</v>
      </c>
      <c r="F29" s="454">
        <v>1</v>
      </c>
      <c r="G29" s="289" t="str">
        <f t="shared" si="4"/>
        <v>×</v>
      </c>
      <c r="H29" s="291">
        <v>44823</v>
      </c>
      <c r="I29" s="292">
        <f t="shared" si="0"/>
        <v>4</v>
      </c>
      <c r="J29" s="454">
        <v>1</v>
      </c>
      <c r="K29" s="454">
        <v>1</v>
      </c>
      <c r="L29" s="454">
        <v>1</v>
      </c>
      <c r="M29" s="454">
        <v>1</v>
      </c>
      <c r="N29" s="289" t="str">
        <f t="shared" si="5"/>
        <v>×</v>
      </c>
      <c r="O29" s="291">
        <v>44853</v>
      </c>
      <c r="P29" s="292">
        <f t="shared" si="1"/>
        <v>4</v>
      </c>
      <c r="Q29" s="454">
        <v>1</v>
      </c>
      <c r="R29" s="454">
        <v>1</v>
      </c>
      <c r="S29" s="454">
        <v>1</v>
      </c>
      <c r="T29" s="454">
        <v>1</v>
      </c>
      <c r="U29" s="289" t="str">
        <f t="shared" si="6"/>
        <v>×</v>
      </c>
    </row>
    <row r="30" spans="1:21" ht="15" customHeight="1">
      <c r="A30" s="291">
        <v>44793</v>
      </c>
      <c r="B30" s="452">
        <f t="shared" si="3"/>
        <v>4</v>
      </c>
      <c r="C30" s="454">
        <v>1</v>
      </c>
      <c r="D30" s="454">
        <v>1</v>
      </c>
      <c r="E30" s="454">
        <v>1</v>
      </c>
      <c r="F30" s="454">
        <v>1</v>
      </c>
      <c r="G30" s="289" t="str">
        <f t="shared" si="4"/>
        <v>×</v>
      </c>
      <c r="H30" s="291">
        <v>44824</v>
      </c>
      <c r="I30" s="292">
        <f t="shared" si="0"/>
        <v>4</v>
      </c>
      <c r="J30" s="454">
        <v>1</v>
      </c>
      <c r="K30" s="454">
        <v>1</v>
      </c>
      <c r="L30" s="454">
        <v>1</v>
      </c>
      <c r="M30" s="454">
        <v>1</v>
      </c>
      <c r="N30" s="289" t="str">
        <f t="shared" si="5"/>
        <v>×</v>
      </c>
      <c r="O30" s="291">
        <v>44854</v>
      </c>
      <c r="P30" s="292">
        <f t="shared" si="1"/>
        <v>4</v>
      </c>
      <c r="Q30" s="454">
        <v>1</v>
      </c>
      <c r="R30" s="454">
        <v>1</v>
      </c>
      <c r="S30" s="454">
        <v>1</v>
      </c>
      <c r="T30" s="454">
        <v>1</v>
      </c>
      <c r="U30" s="289" t="str">
        <f t="shared" si="6"/>
        <v>×</v>
      </c>
    </row>
    <row r="31" spans="1:21" ht="15" customHeight="1">
      <c r="A31" s="291">
        <v>44794</v>
      </c>
      <c r="B31" s="452">
        <f t="shared" si="3"/>
        <v>4</v>
      </c>
      <c r="C31" s="454">
        <v>1</v>
      </c>
      <c r="D31" s="454">
        <v>1</v>
      </c>
      <c r="E31" s="454">
        <v>1</v>
      </c>
      <c r="F31" s="454">
        <v>1</v>
      </c>
      <c r="G31" s="289" t="str">
        <f t="shared" si="4"/>
        <v>×</v>
      </c>
      <c r="H31" s="291">
        <v>44825</v>
      </c>
      <c r="I31" s="292">
        <f t="shared" si="0"/>
        <v>4</v>
      </c>
      <c r="J31" s="454">
        <v>1</v>
      </c>
      <c r="K31" s="454">
        <v>1</v>
      </c>
      <c r="L31" s="454">
        <v>1</v>
      </c>
      <c r="M31" s="454">
        <v>1</v>
      </c>
      <c r="N31" s="289" t="str">
        <f t="shared" si="5"/>
        <v>×</v>
      </c>
      <c r="O31" s="291">
        <v>44855</v>
      </c>
      <c r="P31" s="292">
        <f t="shared" si="1"/>
        <v>4</v>
      </c>
      <c r="Q31" s="454">
        <v>1</v>
      </c>
      <c r="R31" s="454">
        <v>1</v>
      </c>
      <c r="S31" s="454">
        <v>1</v>
      </c>
      <c r="T31" s="454">
        <v>1</v>
      </c>
      <c r="U31" s="289" t="str">
        <f t="shared" si="6"/>
        <v>×</v>
      </c>
    </row>
    <row r="32" spans="1:21" ht="15" customHeight="1">
      <c r="A32" s="291">
        <v>44795</v>
      </c>
      <c r="B32" s="452">
        <f t="shared" si="3"/>
        <v>4</v>
      </c>
      <c r="C32" s="454">
        <v>1</v>
      </c>
      <c r="D32" s="454">
        <v>1</v>
      </c>
      <c r="E32" s="454">
        <v>1</v>
      </c>
      <c r="F32" s="454">
        <v>1</v>
      </c>
      <c r="G32" s="289" t="str">
        <f t="shared" si="4"/>
        <v>×</v>
      </c>
      <c r="H32" s="291">
        <v>44826</v>
      </c>
      <c r="I32" s="292">
        <f t="shared" si="0"/>
        <v>4</v>
      </c>
      <c r="J32" s="454">
        <v>1</v>
      </c>
      <c r="K32" s="454">
        <v>1</v>
      </c>
      <c r="L32" s="454">
        <v>1</v>
      </c>
      <c r="M32" s="454">
        <v>1</v>
      </c>
      <c r="N32" s="289" t="str">
        <f t="shared" si="5"/>
        <v>×</v>
      </c>
      <c r="O32" s="291">
        <v>44856</v>
      </c>
      <c r="P32" s="292">
        <f t="shared" si="1"/>
        <v>4</v>
      </c>
      <c r="Q32" s="454">
        <v>1</v>
      </c>
      <c r="R32" s="454">
        <v>1</v>
      </c>
      <c r="S32" s="454">
        <v>1</v>
      </c>
      <c r="T32" s="454">
        <v>1</v>
      </c>
      <c r="U32" s="289" t="str">
        <f t="shared" si="6"/>
        <v>×</v>
      </c>
    </row>
    <row r="33" spans="1:21" ht="15" customHeight="1">
      <c r="A33" s="291">
        <v>44796</v>
      </c>
      <c r="B33" s="452">
        <f t="shared" si="3"/>
        <v>4</v>
      </c>
      <c r="C33" s="454">
        <v>1</v>
      </c>
      <c r="D33" s="454">
        <v>1</v>
      </c>
      <c r="E33" s="454">
        <v>1</v>
      </c>
      <c r="F33" s="454">
        <v>1</v>
      </c>
      <c r="G33" s="289" t="str">
        <f t="shared" si="4"/>
        <v>×</v>
      </c>
      <c r="H33" s="291">
        <v>44827</v>
      </c>
      <c r="I33" s="292">
        <f t="shared" si="0"/>
        <v>4</v>
      </c>
      <c r="J33" s="454">
        <v>1</v>
      </c>
      <c r="K33" s="454">
        <v>1</v>
      </c>
      <c r="L33" s="454">
        <v>1</v>
      </c>
      <c r="M33" s="454">
        <v>1</v>
      </c>
      <c r="N33" s="289" t="str">
        <f t="shared" si="5"/>
        <v>×</v>
      </c>
      <c r="O33" s="291">
        <v>44857</v>
      </c>
      <c r="P33" s="292">
        <f t="shared" si="1"/>
        <v>4</v>
      </c>
      <c r="Q33" s="454">
        <v>1</v>
      </c>
      <c r="R33" s="454">
        <v>1</v>
      </c>
      <c r="S33" s="454">
        <v>1</v>
      </c>
      <c r="T33" s="454">
        <v>1</v>
      </c>
      <c r="U33" s="289" t="str">
        <f t="shared" si="6"/>
        <v>×</v>
      </c>
    </row>
    <row r="34" spans="1:21" ht="15" customHeight="1">
      <c r="A34" s="291">
        <v>44797</v>
      </c>
      <c r="B34" s="452">
        <f t="shared" si="3"/>
        <v>4</v>
      </c>
      <c r="C34" s="454">
        <v>1</v>
      </c>
      <c r="D34" s="454">
        <v>1</v>
      </c>
      <c r="E34" s="454">
        <v>1</v>
      </c>
      <c r="F34" s="454">
        <v>1</v>
      </c>
      <c r="G34" s="289" t="str">
        <f t="shared" si="4"/>
        <v>×</v>
      </c>
      <c r="H34" s="291">
        <v>44828</v>
      </c>
      <c r="I34" s="292">
        <f t="shared" si="0"/>
        <v>4</v>
      </c>
      <c r="J34" s="454">
        <v>1</v>
      </c>
      <c r="K34" s="454">
        <v>1</v>
      </c>
      <c r="L34" s="454">
        <v>1</v>
      </c>
      <c r="M34" s="454">
        <v>1</v>
      </c>
      <c r="N34" s="289" t="str">
        <f t="shared" si="5"/>
        <v>×</v>
      </c>
      <c r="O34" s="291">
        <v>44858</v>
      </c>
      <c r="P34" s="292">
        <f t="shared" si="1"/>
        <v>4</v>
      </c>
      <c r="Q34" s="454">
        <v>1</v>
      </c>
      <c r="R34" s="454">
        <v>1</v>
      </c>
      <c r="S34" s="454">
        <v>1</v>
      </c>
      <c r="T34" s="454">
        <v>1</v>
      </c>
      <c r="U34" s="289" t="str">
        <f t="shared" si="6"/>
        <v>×</v>
      </c>
    </row>
    <row r="35" spans="1:21" ht="15" customHeight="1">
      <c r="A35" s="291">
        <v>44798</v>
      </c>
      <c r="B35" s="452">
        <f t="shared" si="3"/>
        <v>4</v>
      </c>
      <c r="C35" s="454">
        <v>1</v>
      </c>
      <c r="D35" s="454">
        <v>1</v>
      </c>
      <c r="E35" s="454">
        <v>1</v>
      </c>
      <c r="F35" s="454">
        <v>1</v>
      </c>
      <c r="G35" s="289" t="str">
        <f t="shared" si="4"/>
        <v>×</v>
      </c>
      <c r="H35" s="291">
        <v>44829</v>
      </c>
      <c r="I35" s="292">
        <f t="shared" si="0"/>
        <v>4</v>
      </c>
      <c r="J35" s="454">
        <v>1</v>
      </c>
      <c r="K35" s="454">
        <v>1</v>
      </c>
      <c r="L35" s="454">
        <v>1</v>
      </c>
      <c r="M35" s="454">
        <v>1</v>
      </c>
      <c r="N35" s="289" t="str">
        <f t="shared" si="5"/>
        <v>×</v>
      </c>
      <c r="O35" s="291">
        <v>44859</v>
      </c>
      <c r="P35" s="292">
        <f t="shared" si="1"/>
        <v>4</v>
      </c>
      <c r="Q35" s="454">
        <v>1</v>
      </c>
      <c r="R35" s="454">
        <v>1</v>
      </c>
      <c r="S35" s="454">
        <v>1</v>
      </c>
      <c r="T35" s="454">
        <v>1</v>
      </c>
      <c r="U35" s="289" t="str">
        <f t="shared" si="6"/>
        <v>×</v>
      </c>
    </row>
    <row r="36" spans="1:21" ht="15" customHeight="1">
      <c r="A36" s="291">
        <v>44799</v>
      </c>
      <c r="B36" s="452">
        <f t="shared" si="3"/>
        <v>4</v>
      </c>
      <c r="C36" s="454">
        <v>1</v>
      </c>
      <c r="D36" s="454">
        <v>1</v>
      </c>
      <c r="E36" s="454">
        <v>1</v>
      </c>
      <c r="F36" s="454">
        <v>1</v>
      </c>
      <c r="G36" s="289" t="str">
        <f t="shared" si="4"/>
        <v>×</v>
      </c>
      <c r="H36" s="291">
        <v>44830</v>
      </c>
      <c r="I36" s="292">
        <f t="shared" si="0"/>
        <v>4</v>
      </c>
      <c r="J36" s="454">
        <v>1</v>
      </c>
      <c r="K36" s="454">
        <v>1</v>
      </c>
      <c r="L36" s="454">
        <v>1</v>
      </c>
      <c r="M36" s="454">
        <v>1</v>
      </c>
      <c r="N36" s="289" t="str">
        <f t="shared" si="5"/>
        <v>×</v>
      </c>
      <c r="O36" s="291">
        <v>44860</v>
      </c>
      <c r="P36" s="292">
        <f t="shared" si="1"/>
        <v>4</v>
      </c>
      <c r="Q36" s="454">
        <v>1</v>
      </c>
      <c r="R36" s="454">
        <v>1</v>
      </c>
      <c r="S36" s="454">
        <v>1</v>
      </c>
      <c r="T36" s="454">
        <v>1</v>
      </c>
      <c r="U36" s="289" t="str">
        <f t="shared" si="6"/>
        <v>×</v>
      </c>
    </row>
    <row r="37" spans="1:21" ht="15" customHeight="1">
      <c r="A37" s="291">
        <v>44800</v>
      </c>
      <c r="B37" s="452">
        <f t="shared" si="3"/>
        <v>4</v>
      </c>
      <c r="C37" s="454">
        <v>1</v>
      </c>
      <c r="D37" s="454">
        <v>1</v>
      </c>
      <c r="E37" s="454">
        <v>1</v>
      </c>
      <c r="F37" s="454">
        <v>1</v>
      </c>
      <c r="G37" s="289" t="str">
        <f t="shared" si="4"/>
        <v>×</v>
      </c>
      <c r="H37" s="291">
        <v>44831</v>
      </c>
      <c r="I37" s="292">
        <f t="shared" si="0"/>
        <v>4</v>
      </c>
      <c r="J37" s="454">
        <v>1</v>
      </c>
      <c r="K37" s="454">
        <v>1</v>
      </c>
      <c r="L37" s="454">
        <v>1</v>
      </c>
      <c r="M37" s="454">
        <v>1</v>
      </c>
      <c r="N37" s="289" t="str">
        <f t="shared" si="5"/>
        <v>×</v>
      </c>
      <c r="O37" s="291">
        <v>44861</v>
      </c>
      <c r="P37" s="292">
        <f t="shared" si="1"/>
        <v>4</v>
      </c>
      <c r="Q37" s="454">
        <v>1</v>
      </c>
      <c r="R37" s="454">
        <v>1</v>
      </c>
      <c r="S37" s="454">
        <v>1</v>
      </c>
      <c r="T37" s="454">
        <v>1</v>
      </c>
      <c r="U37" s="289" t="str">
        <f t="shared" si="6"/>
        <v>×</v>
      </c>
    </row>
    <row r="38" spans="1:21" ht="15" customHeight="1">
      <c r="A38" s="291">
        <v>44801</v>
      </c>
      <c r="B38" s="452">
        <f t="shared" si="3"/>
        <v>4</v>
      </c>
      <c r="C38" s="454">
        <v>1</v>
      </c>
      <c r="D38" s="454">
        <v>1</v>
      </c>
      <c r="E38" s="454">
        <v>1</v>
      </c>
      <c r="F38" s="454">
        <v>1</v>
      </c>
      <c r="G38" s="289" t="str">
        <f t="shared" si="4"/>
        <v>×</v>
      </c>
      <c r="H38" s="291">
        <v>44832</v>
      </c>
      <c r="I38" s="292">
        <f t="shared" si="0"/>
        <v>4</v>
      </c>
      <c r="J38" s="454">
        <v>1</v>
      </c>
      <c r="K38" s="454">
        <v>1</v>
      </c>
      <c r="L38" s="454">
        <v>1</v>
      </c>
      <c r="M38" s="454">
        <v>1</v>
      </c>
      <c r="N38" s="289" t="str">
        <f t="shared" si="5"/>
        <v>×</v>
      </c>
      <c r="O38" s="291">
        <v>44862</v>
      </c>
      <c r="P38" s="292">
        <f t="shared" si="1"/>
        <v>4</v>
      </c>
      <c r="Q38" s="454">
        <v>1</v>
      </c>
      <c r="R38" s="454">
        <v>1</v>
      </c>
      <c r="S38" s="454">
        <v>1</v>
      </c>
      <c r="T38" s="454">
        <v>1</v>
      </c>
      <c r="U38" s="289" t="str">
        <f t="shared" si="6"/>
        <v>×</v>
      </c>
    </row>
    <row r="39" spans="1:21" ht="15" customHeight="1">
      <c r="A39" s="291">
        <v>44802</v>
      </c>
      <c r="B39" s="452">
        <f t="shared" si="3"/>
        <v>4</v>
      </c>
      <c r="C39" s="454">
        <v>1</v>
      </c>
      <c r="D39" s="454">
        <v>1</v>
      </c>
      <c r="E39" s="454">
        <v>1</v>
      </c>
      <c r="F39" s="454">
        <v>1</v>
      </c>
      <c r="G39" s="289" t="str">
        <f t="shared" si="4"/>
        <v>×</v>
      </c>
      <c r="H39" s="291">
        <v>44833</v>
      </c>
      <c r="I39" s="292">
        <f t="shared" si="0"/>
        <v>4</v>
      </c>
      <c r="J39" s="454">
        <v>1</v>
      </c>
      <c r="K39" s="454">
        <v>1</v>
      </c>
      <c r="L39" s="454">
        <v>1</v>
      </c>
      <c r="M39" s="454">
        <v>1</v>
      </c>
      <c r="N39" s="289" t="str">
        <f t="shared" si="5"/>
        <v>×</v>
      </c>
      <c r="O39" s="291">
        <v>44863</v>
      </c>
      <c r="P39" s="292">
        <f t="shared" si="1"/>
        <v>4</v>
      </c>
      <c r="Q39" s="454">
        <v>1</v>
      </c>
      <c r="R39" s="454">
        <v>1</v>
      </c>
      <c r="S39" s="454">
        <v>1</v>
      </c>
      <c r="T39" s="454">
        <v>1</v>
      </c>
      <c r="U39" s="289" t="str">
        <f t="shared" si="6"/>
        <v>×</v>
      </c>
    </row>
    <row r="40" spans="1:21" ht="15" customHeight="1">
      <c r="A40" s="291">
        <v>44803</v>
      </c>
      <c r="B40" s="452">
        <f t="shared" si="3"/>
        <v>4</v>
      </c>
      <c r="C40" s="454">
        <v>1</v>
      </c>
      <c r="D40" s="454">
        <v>1</v>
      </c>
      <c r="E40" s="454">
        <v>1</v>
      </c>
      <c r="F40" s="454">
        <v>1</v>
      </c>
      <c r="G40" s="289" t="str">
        <f t="shared" si="4"/>
        <v>×</v>
      </c>
      <c r="H40" s="291">
        <v>44834</v>
      </c>
      <c r="I40" s="292">
        <f t="shared" si="0"/>
        <v>4</v>
      </c>
      <c r="J40" s="454">
        <v>1</v>
      </c>
      <c r="K40" s="454">
        <v>1</v>
      </c>
      <c r="L40" s="454">
        <v>1</v>
      </c>
      <c r="M40" s="454">
        <v>1</v>
      </c>
      <c r="N40" s="289" t="str">
        <f t="shared" si="5"/>
        <v>×</v>
      </c>
      <c r="O40" s="291">
        <v>44864</v>
      </c>
      <c r="P40" s="292">
        <f t="shared" si="1"/>
        <v>4</v>
      </c>
      <c r="Q40" s="454">
        <v>1</v>
      </c>
      <c r="R40" s="454">
        <v>1</v>
      </c>
      <c r="S40" s="454">
        <v>1</v>
      </c>
      <c r="T40" s="454">
        <v>1</v>
      </c>
      <c r="U40" s="289" t="str">
        <f t="shared" si="6"/>
        <v>×</v>
      </c>
    </row>
    <row r="41" spans="1:21" ht="15" customHeight="1" thickBot="1">
      <c r="A41" s="296">
        <v>44804</v>
      </c>
      <c r="B41" s="453">
        <f t="shared" si="3"/>
        <v>4</v>
      </c>
      <c r="C41" s="454">
        <v>1</v>
      </c>
      <c r="D41" s="454">
        <v>1</v>
      </c>
      <c r="E41" s="454">
        <v>1</v>
      </c>
      <c r="F41" s="454">
        <v>1</v>
      </c>
      <c r="G41" s="289" t="str">
        <f t="shared" si="4"/>
        <v>×</v>
      </c>
      <c r="H41" s="298"/>
      <c r="I41" s="299"/>
      <c r="J41" s="300"/>
      <c r="K41" s="300"/>
      <c r="L41" s="300"/>
      <c r="M41" s="300"/>
      <c r="N41" s="289"/>
      <c r="O41" s="296">
        <v>44865</v>
      </c>
      <c r="P41" s="297">
        <f t="shared" si="1"/>
        <v>4</v>
      </c>
      <c r="Q41" s="455">
        <v>1</v>
      </c>
      <c r="R41" s="455">
        <v>1</v>
      </c>
      <c r="S41" s="455">
        <v>1</v>
      </c>
      <c r="T41" s="455">
        <v>1</v>
      </c>
      <c r="U41" s="289" t="str">
        <f t="shared" si="6"/>
        <v>×</v>
      </c>
    </row>
    <row r="42" spans="1:21" ht="15" customHeight="1" thickTop="1">
      <c r="A42" s="301" t="s">
        <v>615</v>
      </c>
      <c r="B42" s="302">
        <f>SUM(B11:B41)</f>
        <v>124</v>
      </c>
      <c r="C42" s="302">
        <f t="shared" ref="C42:F42" si="7">SUM(C11:C41)</f>
        <v>31</v>
      </c>
      <c r="D42" s="302">
        <f t="shared" si="7"/>
        <v>31</v>
      </c>
      <c r="E42" s="302">
        <f t="shared" si="7"/>
        <v>31</v>
      </c>
      <c r="F42" s="302">
        <f t="shared" si="7"/>
        <v>31</v>
      </c>
      <c r="G42" s="658" t="str">
        <f>IF(COUNTIF(G11:G41,"○")=31,"○","×")</f>
        <v>×</v>
      </c>
      <c r="H42" s="301" t="s">
        <v>615</v>
      </c>
      <c r="I42" s="302">
        <f>SUM(I11:I40)</f>
        <v>120</v>
      </c>
      <c r="J42" s="302">
        <f t="shared" ref="J42:L42" si="8">SUM(J11:J40)</f>
        <v>30</v>
      </c>
      <c r="K42" s="302">
        <f t="shared" si="8"/>
        <v>30</v>
      </c>
      <c r="L42" s="302">
        <f t="shared" si="8"/>
        <v>30</v>
      </c>
      <c r="M42" s="302">
        <f>SUM(M11:M40)</f>
        <v>30</v>
      </c>
      <c r="N42" s="658" t="str">
        <f>IF(COUNTIF(N11:N40,"○")=30,"○","×")</f>
        <v>×</v>
      </c>
      <c r="O42" s="301" t="s">
        <v>615</v>
      </c>
      <c r="P42" s="302">
        <f>SUM(P11:P41)</f>
        <v>124</v>
      </c>
      <c r="Q42" s="302">
        <f>SUM(Q11:Q41)</f>
        <v>31</v>
      </c>
      <c r="R42" s="302">
        <f t="shared" ref="R42" si="9">SUM(R11:R41)</f>
        <v>31</v>
      </c>
      <c r="S42" s="302">
        <f t="shared" ref="S42" si="10">SUM(S11:S41)</f>
        <v>31</v>
      </c>
      <c r="T42" s="302">
        <f t="shared" ref="T42" si="11">SUM(T11:T41)</f>
        <v>31</v>
      </c>
      <c r="U42" s="658" t="str">
        <f>IF(COUNTIF(U11:U41,"○")=31,"○","×")</f>
        <v>×</v>
      </c>
    </row>
    <row r="43" spans="1:21" ht="15" customHeight="1">
      <c r="A43" s="293" t="s">
        <v>616</v>
      </c>
      <c r="B43" s="289" t="s">
        <v>617</v>
      </c>
      <c r="C43" s="294">
        <f t="shared" ref="C43:F43" si="12">IFERROR(ROUNDUP(C42/$B$42,4),0)</f>
        <v>0.25</v>
      </c>
      <c r="D43" s="294">
        <f t="shared" si="12"/>
        <v>0.25</v>
      </c>
      <c r="E43" s="294">
        <f t="shared" si="12"/>
        <v>0.25</v>
      </c>
      <c r="F43" s="294">
        <f t="shared" si="12"/>
        <v>0.25</v>
      </c>
      <c r="G43" s="659"/>
      <c r="H43" s="293" t="s">
        <v>616</v>
      </c>
      <c r="I43" s="289" t="s">
        <v>617</v>
      </c>
      <c r="J43" s="294">
        <f>IFERROR(ROUNDUP(J42/$I$42,4),0)</f>
        <v>0.25</v>
      </c>
      <c r="K43" s="294">
        <f t="shared" ref="K43:M43" si="13">IFERROR(ROUNDUP(K42/$I$42,4),0)</f>
        <v>0.25</v>
      </c>
      <c r="L43" s="294">
        <f t="shared" si="13"/>
        <v>0.25</v>
      </c>
      <c r="M43" s="294">
        <f t="shared" si="13"/>
        <v>0.25</v>
      </c>
      <c r="N43" s="659"/>
      <c r="O43" s="293" t="s">
        <v>616</v>
      </c>
      <c r="P43" s="289" t="s">
        <v>617</v>
      </c>
      <c r="Q43" s="294">
        <f>IFERROR(ROUNDUP(Q42/$P$42,4),0)</f>
        <v>0.25</v>
      </c>
      <c r="R43" s="294">
        <f t="shared" ref="R43:T43" si="14">IFERROR(ROUNDUP(R42/$P$42,4),0)</f>
        <v>0.25</v>
      </c>
      <c r="S43" s="294">
        <f t="shared" si="14"/>
        <v>0.25</v>
      </c>
      <c r="T43" s="294">
        <f t="shared" si="14"/>
        <v>0.25</v>
      </c>
      <c r="U43" s="659"/>
    </row>
  </sheetData>
  <sheetProtection algorithmName="SHA-512" hashValue="+6FrkDKGMg5h45EnioCCmtsj7bn4lYU9RjEyMe4VmojDkjjzhetE5BLsk217WDV4HXuZRX5Ld3hWW1L7hyjIqQ==" saltValue="L9fKH4mtMjpZtxh0SOJzIw==" spinCount="100000" sheet="1" objects="1" scenarios="1"/>
  <mergeCells count="20">
    <mergeCell ref="AI6:AK6"/>
    <mergeCell ref="AL6:AN6"/>
    <mergeCell ref="U42:U43"/>
    <mergeCell ref="A9:A10"/>
    <mergeCell ref="H9:H10"/>
    <mergeCell ref="O9:O10"/>
    <mergeCell ref="B9:G9"/>
    <mergeCell ref="I9:N9"/>
    <mergeCell ref="P9:U9"/>
    <mergeCell ref="X6:X7"/>
    <mergeCell ref="Y6:Y7"/>
    <mergeCell ref="Z6:AB6"/>
    <mergeCell ref="AC6:AE6"/>
    <mergeCell ref="AF6:AH6"/>
    <mergeCell ref="A1:C1"/>
    <mergeCell ref="A3:O4"/>
    <mergeCell ref="A5:O6"/>
    <mergeCell ref="A7:O8"/>
    <mergeCell ref="G42:G43"/>
    <mergeCell ref="N42:N43"/>
  </mergeCells>
  <phoneticPr fontId="5"/>
  <conditionalFormatting sqref="N42:N43 G11:G43 U11:U43">
    <cfRule type="containsText" dxfId="96" priority="6" operator="containsText" text="×">
      <formula>NOT(ISERROR(SEARCH("×",G11)))</formula>
    </cfRule>
  </conditionalFormatting>
  <conditionalFormatting sqref="U1">
    <cfRule type="cellIs" dxfId="95" priority="2" operator="equal">
      <formula>"×"</formula>
    </cfRule>
  </conditionalFormatting>
  <conditionalFormatting sqref="N11:N41">
    <cfRule type="containsText" dxfId="94" priority="1" operator="containsText" text="×">
      <formula>NOT(ISERROR(SEARCH("×",N11)))</formula>
    </cfRule>
  </conditionalFormatting>
  <pageMargins left="0.7" right="0.7" top="0.75" bottom="0.75" header="0.3" footer="0.3"/>
  <pageSetup paperSize="9" scale="67"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B56"/>
  <sheetViews>
    <sheetView showGridLines="0" view="pageBreakPreview" zoomScale="80" zoomScaleNormal="100" zoomScaleSheetLayoutView="80" workbookViewId="0">
      <selection activeCell="AN54" sqref="AN54"/>
    </sheetView>
  </sheetViews>
  <sheetFormatPr defaultColWidth="5.58203125" defaultRowHeight="20.149999999999999" customHeight="1"/>
  <cols>
    <col min="1" max="1" width="3.58203125" style="320" customWidth="1"/>
    <col min="2" max="18" width="4.58203125" style="320" customWidth="1"/>
    <col min="19" max="19" width="1.58203125" style="320" customWidth="1"/>
    <col min="20" max="20" width="1.75" style="320" customWidth="1"/>
    <col min="21" max="21" width="10.08203125" style="320" hidden="1" customWidth="1"/>
    <col min="22" max="22" width="10.08203125" style="320" customWidth="1"/>
    <col min="23" max="23" width="10.08203125" style="320" hidden="1" customWidth="1"/>
    <col min="24" max="25" width="10.08203125" style="320" customWidth="1"/>
    <col min="26" max="26" width="7" style="320" customWidth="1"/>
    <col min="27" max="38" width="10.25" style="320" customWidth="1"/>
    <col min="39" max="39" width="4.58203125" style="320" customWidth="1"/>
    <col min="40" max="41" width="10.58203125" style="320" customWidth="1"/>
    <col min="42" max="42" width="4.58203125" style="320" customWidth="1"/>
    <col min="43" max="44" width="10.25" style="320" customWidth="1"/>
    <col min="45" max="47" width="6.58203125" style="320" customWidth="1"/>
    <col min="48" max="54" width="10.25" style="320" customWidth="1"/>
    <col min="55" max="16384" width="5.58203125" style="320"/>
  </cols>
  <sheetData>
    <row r="1" spans="2:54" ht="45" customHeight="1"/>
    <row r="2" spans="2:54" ht="15" customHeight="1">
      <c r="R2" s="321" t="str">
        <f>"《２次募集》"&amp;はじめに入力してください!AE20</f>
        <v>《２次募集》</v>
      </c>
    </row>
    <row r="3" spans="2:54" ht="15" customHeight="1">
      <c r="B3" s="320" t="str">
        <f xml:space="preserve">
IF(OR(テーブル!B2="交付申請",テーブル!B2="交付申請（２次以降）",テーブル!B2="事前協議"),"様式１",
IF(テーブル!B2="変更申請","様式２",
IF(テーブル!B2="実績報告","様式３",
)))</f>
        <v>様式１</v>
      </c>
    </row>
    <row r="4" spans="2:54" ht="15" customHeight="1">
      <c r="N4" s="677" t="str">
        <f>IF(はじめに入力してください!H15="","",はじめに入力してください!H15)</f>
        <v/>
      </c>
      <c r="O4" s="677"/>
      <c r="P4" s="677"/>
      <c r="Q4" s="677"/>
      <c r="Z4" s="672"/>
      <c r="AA4" s="672"/>
      <c r="AB4" s="678"/>
      <c r="AC4" s="672"/>
      <c r="AD4" s="671"/>
      <c r="AE4" s="671"/>
      <c r="AF4" s="671"/>
      <c r="AG4" s="672"/>
      <c r="AH4" s="672"/>
      <c r="AI4" s="671"/>
      <c r="AJ4" s="671"/>
      <c r="AK4" s="602"/>
      <c r="AL4" s="602"/>
      <c r="AM4" s="602"/>
      <c r="AN4" s="602"/>
      <c r="AO4" s="602"/>
      <c r="AP4" s="602"/>
      <c r="AQ4" s="602"/>
      <c r="AR4" s="602"/>
      <c r="AS4" s="671"/>
      <c r="AT4" s="669"/>
      <c r="AU4" s="669"/>
      <c r="AV4" s="670"/>
      <c r="AW4" s="670"/>
      <c r="AX4" s="670"/>
      <c r="AY4" s="670"/>
      <c r="AZ4" s="670"/>
      <c r="BA4" s="673"/>
      <c r="BB4" s="673"/>
    </row>
    <row r="5" spans="2:54" ht="15" customHeight="1">
      <c r="N5" s="674" t="str">
        <f>IF(はじめに入力してください!O14="×","令和　　年　月　　日",
"令和"&amp;はじめに入力してください!I14&amp;"年"&amp;はじめに入力してください!K14&amp;"月"&amp;はじめに入力してください!M14&amp;"日")</f>
        <v>令和　　年　月　　日</v>
      </c>
      <c r="O5" s="675"/>
      <c r="P5" s="675"/>
      <c r="Q5" s="675"/>
      <c r="R5" s="322"/>
      <c r="Z5" s="672"/>
      <c r="AA5" s="672"/>
      <c r="AB5" s="678"/>
      <c r="AC5" s="672"/>
      <c r="AD5" s="671"/>
      <c r="AE5" s="671"/>
      <c r="AF5" s="671"/>
      <c r="AG5" s="672"/>
      <c r="AH5" s="672"/>
      <c r="AI5" s="671"/>
      <c r="AJ5" s="671"/>
      <c r="AK5" s="323"/>
      <c r="AL5" s="324"/>
      <c r="AM5" s="323"/>
      <c r="AN5" s="324"/>
      <c r="AO5" s="602"/>
      <c r="AP5" s="323"/>
      <c r="AQ5" s="324"/>
      <c r="AR5" s="602"/>
      <c r="AS5" s="671"/>
      <c r="AT5" s="669"/>
      <c r="AU5" s="669"/>
      <c r="AV5" s="670"/>
      <c r="AW5" s="670"/>
      <c r="AX5" s="670"/>
      <c r="AY5" s="670"/>
      <c r="AZ5" s="670"/>
      <c r="BA5" s="673"/>
      <c r="BB5" s="673"/>
    </row>
    <row r="6" spans="2:54" ht="15" customHeight="1">
      <c r="B6" s="676" t="s">
        <v>747</v>
      </c>
      <c r="C6" s="676"/>
      <c r="D6" s="676"/>
      <c r="E6" s="676"/>
      <c r="F6" s="676"/>
      <c r="G6" s="676"/>
      <c r="Z6" s="325"/>
      <c r="AA6" s="326"/>
      <c r="AB6" s="326"/>
      <c r="AC6" s="327"/>
      <c r="AD6" s="327"/>
      <c r="AE6" s="327"/>
      <c r="AF6" s="327"/>
      <c r="AG6" s="327"/>
      <c r="AH6" s="327"/>
      <c r="AI6" s="327"/>
      <c r="AJ6" s="327"/>
      <c r="AK6" s="327"/>
      <c r="AL6" s="327"/>
      <c r="AM6" s="327"/>
      <c r="AN6" s="327"/>
      <c r="AO6" s="327"/>
      <c r="AP6" s="327"/>
      <c r="AQ6" s="327"/>
      <c r="AR6" s="327"/>
      <c r="AS6" s="326"/>
      <c r="AT6" s="328"/>
      <c r="AU6" s="326"/>
      <c r="AV6" s="326"/>
      <c r="AW6" s="326"/>
      <c r="AX6" s="326"/>
      <c r="AY6" s="326"/>
      <c r="AZ6" s="326"/>
      <c r="BA6" s="326"/>
      <c r="BB6" s="326"/>
    </row>
    <row r="7" spans="2:54" ht="15" customHeight="1"/>
    <row r="8" spans="2:54" ht="15" customHeight="1">
      <c r="I8" s="667" t="s">
        <v>748</v>
      </c>
      <c r="J8" s="667"/>
      <c r="K8" s="667"/>
      <c r="L8" s="668" t="str">
        <f>IF(はじめに入力してください!H9="","",はじめに入力してください!H9)</f>
        <v/>
      </c>
      <c r="M8" s="668"/>
      <c r="N8" s="668"/>
      <c r="O8" s="668"/>
      <c r="P8" s="668"/>
      <c r="Q8" s="668"/>
      <c r="R8" s="668"/>
      <c r="V8" s="329"/>
      <c r="W8" s="320" t="s">
        <v>750</v>
      </c>
    </row>
    <row r="9" spans="2:54" ht="15" customHeight="1">
      <c r="I9" s="667" t="s">
        <v>751</v>
      </c>
      <c r="J9" s="667"/>
      <c r="K9" s="667"/>
      <c r="L9" s="668" t="str">
        <f xml:space="preserve">
IF(はじめに入力してください!O3="×","",
IF(はじめに入力してください!O3="○"&amp;CHAR(10)&amp;"（個人）",はじめに入力してください!H6,
IF(はじめに入力してください!O3="○"&amp;CHAR(10)&amp;"（法人）",はじめに入力してください!H6&amp;"("&amp;はじめに入力してください!H10&amp;")",
IF(はじめに入力してください!O3="○"&amp;CHAR(10)&amp;"（公立）",はじめに入力してください!H6&amp;"("&amp;はじめに入力してください!H10&amp;")"))))</f>
        <v/>
      </c>
      <c r="M9" s="668"/>
      <c r="N9" s="668"/>
      <c r="O9" s="668"/>
      <c r="P9" s="668"/>
      <c r="Q9" s="668"/>
      <c r="R9" s="668"/>
      <c r="W9" s="320" t="s">
        <v>752</v>
      </c>
    </row>
    <row r="10" spans="2:54" ht="15" customHeight="1">
      <c r="I10" s="667" t="s">
        <v>753</v>
      </c>
      <c r="J10" s="667"/>
      <c r="K10" s="667"/>
      <c r="L10" s="681" t="str">
        <f>はじめに入力してください!H7&amp;"　"&amp;はじめに入力してください!H8</f>
        <v>　</v>
      </c>
      <c r="M10" s="681"/>
      <c r="N10" s="681"/>
      <c r="O10" s="681"/>
      <c r="P10" s="681"/>
      <c r="Q10" s="681"/>
      <c r="R10" s="681"/>
      <c r="W10" s="320" t="s">
        <v>749</v>
      </c>
      <c r="AA10" s="330"/>
      <c r="AB10" s="330"/>
      <c r="AC10" s="330"/>
      <c r="AD10" s="330"/>
      <c r="AE10" s="330"/>
      <c r="AF10" s="330"/>
      <c r="AG10" s="330"/>
    </row>
    <row r="11" spans="2:54" ht="15" customHeight="1">
      <c r="AA11" s="330"/>
      <c r="AB11" s="330"/>
      <c r="AC11" s="330"/>
      <c r="AD11" s="330"/>
      <c r="AE11" s="330"/>
      <c r="AF11" s="330"/>
      <c r="AG11" s="330"/>
    </row>
    <row r="12" spans="2:54" ht="32.15" customHeight="1">
      <c r="B12" s="682" t="str">
        <f xml:space="preserve">
IF(OR(テーブル!B2="交付申請",テーブル!B2="交付申請（２次以降）",テーブル!B2="事前協議"),
"　　　　令和４年度　新型コロナウイルス感染症患者等入院医療機関設備整備費補助金"&amp;CHAR(10)&amp;"　　　　交付申請書",
IF(テーブル!B2="変更申請",
"　　　　令和４年度　新型コロナウイルス感染症患者等入院医療機関設備整備費補助金"&amp;CHAR(10)&amp;"　　　　変更交付申請書",
IF(テーブル!B2="実績報告",
"　　　　令和４年度　新型コロナウイルス感染症患者等入院医療機関設備整備費補助金"&amp;CHAR(10)&amp;"　　　　事業実績報告書",
)))</f>
        <v>　　　　令和４年度　新型コロナウイルス感染症患者等入院医療機関設備整備費補助金
　　　　交付申請書</v>
      </c>
      <c r="C12" s="682"/>
      <c r="D12" s="682"/>
      <c r="E12" s="682"/>
      <c r="F12" s="682"/>
      <c r="G12" s="682"/>
      <c r="H12" s="682"/>
      <c r="I12" s="682"/>
      <c r="J12" s="682"/>
      <c r="K12" s="682"/>
      <c r="L12" s="682"/>
      <c r="M12" s="682"/>
      <c r="N12" s="682"/>
      <c r="O12" s="682"/>
      <c r="P12" s="682"/>
      <c r="Q12" s="682"/>
      <c r="R12" s="682"/>
    </row>
    <row r="13" spans="2:54" ht="15" customHeight="1"/>
    <row r="14" spans="2:54" ht="15" customHeight="1">
      <c r="B14" s="320" t="str">
        <f xml:space="preserve">
IF(OR(テーブル!B2="交付申請",テーブル!B2="交付申請（２次以降）",テーブル!B2="事前協議"),"　このことについて、下記により申請します。",
IF(テーブル!B2="変更申請","　このことについて、下記により申請します。",
IF(テーブル!B2="実績報告","　このことについて、下記により提出します。",
)))</f>
        <v>　このことについて、下記により申請します。</v>
      </c>
    </row>
    <row r="15" spans="2:54" ht="15" customHeight="1">
      <c r="B15" s="667" t="s">
        <v>754</v>
      </c>
      <c r="C15" s="667"/>
      <c r="D15" s="667"/>
      <c r="E15" s="667"/>
      <c r="F15" s="667"/>
      <c r="G15" s="667"/>
      <c r="H15" s="667"/>
      <c r="I15" s="667"/>
      <c r="J15" s="667"/>
      <c r="K15" s="667"/>
      <c r="L15" s="667"/>
      <c r="M15" s="667"/>
      <c r="N15" s="667"/>
      <c r="O15" s="667"/>
      <c r="P15" s="667"/>
      <c r="Q15" s="667"/>
      <c r="R15" s="667"/>
    </row>
    <row r="16" spans="2:54" ht="15" customHeight="1">
      <c r="B16" s="320" t="s">
        <v>7</v>
      </c>
      <c r="C16" s="331"/>
      <c r="D16" s="331"/>
      <c r="E16" s="331"/>
      <c r="F16" s="331"/>
      <c r="G16" s="331"/>
      <c r="H16" s="331"/>
      <c r="I16" s="331"/>
      <c r="J16" s="331"/>
      <c r="K16" s="331"/>
      <c r="L16" s="331"/>
      <c r="M16" s="331"/>
      <c r="N16" s="331"/>
      <c r="O16" s="331"/>
      <c r="P16" s="331"/>
      <c r="Q16" s="331"/>
      <c r="R16" s="331"/>
    </row>
    <row r="17" spans="2:21" ht="15" customHeight="1">
      <c r="C17" s="679" t="str">
        <f>IF(はじめに入力してください!O10="×","",はじめに入力してください!H10)</f>
        <v/>
      </c>
      <c r="D17" s="679"/>
      <c r="E17" s="679"/>
      <c r="F17" s="679"/>
      <c r="G17" s="679"/>
      <c r="H17" s="679"/>
      <c r="I17" s="679"/>
      <c r="J17" s="679"/>
      <c r="K17" s="679"/>
      <c r="L17" s="679"/>
      <c r="M17" s="679"/>
      <c r="N17" s="679"/>
      <c r="O17" s="679"/>
      <c r="P17" s="679"/>
      <c r="Q17" s="679"/>
      <c r="R17" s="679"/>
    </row>
    <row r="18" spans="2:21" ht="15" customHeight="1">
      <c r="C18" s="679" t="str">
        <f>IF(はじめに入力してください!O11="×","",はじめに入力してください!H11)</f>
        <v/>
      </c>
      <c r="D18" s="679"/>
      <c r="E18" s="679"/>
      <c r="F18" s="679"/>
      <c r="G18" s="679"/>
      <c r="H18" s="679"/>
      <c r="I18" s="679"/>
      <c r="J18" s="679"/>
      <c r="K18" s="679"/>
      <c r="L18" s="679"/>
      <c r="M18" s="679"/>
      <c r="N18" s="679"/>
      <c r="O18" s="679"/>
      <c r="P18" s="679"/>
      <c r="Q18" s="679"/>
      <c r="R18" s="679"/>
    </row>
    <row r="19" spans="2:21" ht="15" customHeight="1">
      <c r="B19" s="679" t="str">
        <f xml:space="preserve">
IF(OR(テーブル!B2="交付申請",テーブル!B2="交付申請（２次以降）",テーブル!B2="事前協議"),"２　補助金申請額",
IF(テーブル!B2="変更申請","２　補助金申請額",
IF(テーブル!B2="実績報告","２　補助金精算額")))</f>
        <v>２　補助金申請額</v>
      </c>
      <c r="C19" s="679"/>
      <c r="D19" s="679"/>
      <c r="E19" s="679"/>
      <c r="F19" s="679"/>
      <c r="G19" s="679"/>
      <c r="H19" s="679"/>
      <c r="I19" s="679"/>
      <c r="J19" s="679"/>
      <c r="K19" s="679"/>
      <c r="L19" s="679"/>
      <c r="M19" s="679"/>
      <c r="N19" s="679"/>
      <c r="O19" s="679"/>
      <c r="P19" s="679"/>
      <c r="Q19" s="679"/>
    </row>
    <row r="20" spans="2:21" ht="15" customHeight="1">
      <c r="B20" s="679" t="str">
        <f xml:space="preserve">
IF(OR(テーブル!B2="交付申請",テーブル!B2="交付申請（２次以降）",テーブル!B2="事前協議"),"",
IF(テーブル!B2="変更申請","（１）申請額",
IF(テーブル!B2="実績報告","")))</f>
        <v/>
      </c>
      <c r="C20" s="679"/>
      <c r="D20" s="679"/>
      <c r="E20" s="679"/>
      <c r="F20" s="679"/>
      <c r="G20" s="683" t="str">
        <f xml:space="preserve">
IF(AND(OR(テーブル!B2="交付申請",テーブル!B2="交付申請（２次以降）",テーブル!B2="事前協議"),
はじめに入力してください!F33="×"),"金　　　　　　　　　円",
IF(AND(OR(テーブル!B2="交付申請",テーブル!B2="交付申請（２次以降）",テーブル!B2="事前協議"),
はじめに入力してください!F33="○"),経費書!K41,
IF(AND(テーブル!B2="変更申請",はじめに入力してください!F33="×"),"金　　　　　　　　　円",
IF(AND(テーブル!B2="変更申請",はじめに入力してください!F33="○"),経費書!K41,
IF(AND(テーブル!B2="実績報告",はじめに入力してください!F33="×"),"金　　　　　　　　　円",
IF(AND(テーブル!B2="実績報告",はじめに入力してください!F33="○"),MIN(VLOOKUP(はじめに入力してください!L20,リスト!A:B,2,FALSE),経費書!K41)))))))</f>
        <v>金　　　　　　　　　円</v>
      </c>
      <c r="H20" s="684"/>
      <c r="I20" s="684"/>
      <c r="J20" s="684"/>
      <c r="K20" s="684"/>
      <c r="L20" s="332"/>
      <c r="M20" s="332"/>
      <c r="N20" s="332"/>
      <c r="O20" s="332"/>
      <c r="P20" s="332"/>
    </row>
    <row r="21" spans="2:21" ht="15" customHeight="1">
      <c r="B21" s="679" t="str">
        <f xml:space="preserve">
IF(OR(テーブル!B2="交付申請",テーブル!B2="交付申請（２次以降）",テーブル!B2="事前協議"),"",
IF(テーブル!B2="変更申請","（２）既交付決定額",
IF(テーブル!B2="実績報告","")))</f>
        <v/>
      </c>
      <c r="C21" s="679"/>
      <c r="D21" s="679"/>
      <c r="E21" s="679"/>
      <c r="F21" s="679"/>
      <c r="G21" s="680" t="str">
        <f xml:space="preserve">
IF(OR(テーブル!B2="交付申請",テーブル!B2="交付申請（２次以降）",テーブル!B2="事前協議"),"",
IF(AND(テーブル!B2="変更申請",はじめに入力してください!L20=""),"金　　　　　　　　　円",
IF(AND(テーブル!B2="変更申請",はじめに入力してください!L20&lt;&gt;""),VLOOKUP(はじめに入力してください!L20,リスト!A:B,2,FALSE),
IF(AND(テーブル!B2="実績報告",はじめに入力してください!L20=""),"",
IF(AND(テーブル!B2="実績報告",はじめに入力してください!L20&lt;&gt;""),""
)))))</f>
        <v/>
      </c>
      <c r="H21" s="680"/>
      <c r="I21" s="680"/>
      <c r="J21" s="680"/>
      <c r="K21" s="680"/>
      <c r="L21" s="333"/>
      <c r="M21" s="333"/>
      <c r="N21" s="333"/>
      <c r="O21" s="333"/>
      <c r="P21" s="333"/>
    </row>
    <row r="22" spans="2:21" ht="15" customHeight="1">
      <c r="B22" s="679" t="str">
        <f xml:space="preserve">
IF(OR(テーブル!B2="交付申請",テーブル!B2="交付申請（２次以降）",テーブル!B2="事前協議"),"",
IF(テーブル!B2="変更申請","（３）差引増減額",
IF(テーブル!B2="実績報告","")))</f>
        <v/>
      </c>
      <c r="C22" s="679"/>
      <c r="D22" s="679"/>
      <c r="E22" s="679"/>
      <c r="F22" s="679"/>
      <c r="G22" s="685" t="str">
        <f>IFERROR(
IF(OR(テーブル!B2="交付申請",テーブル!B2="交付申請（２次以降）",テーブル!B2="事前協議"),"",
IF(AND(テーブル!B2="変更申請",はじめに入力してください!L20=""),"金　　　　　　　　　円",
IF(AND(テーブル!B2="変更申請",はじめに入力してください!L20&lt;&gt;""),G20-G21,
IF(AND(テーブル!B2="実績報告",はじめに入力してください!L20=""),"",
IF(AND(テーブル!B2="実績報告",はじめに入力してください!L20&lt;&gt;""),""
))))),"金　　　　　　　　　円")</f>
        <v/>
      </c>
      <c r="H22" s="685"/>
      <c r="I22" s="685"/>
      <c r="J22" s="685"/>
      <c r="K22" s="685"/>
      <c r="L22" s="333"/>
      <c r="M22" s="333"/>
      <c r="N22" s="333"/>
      <c r="O22" s="333"/>
      <c r="P22" s="333"/>
    </row>
    <row r="23" spans="2:21" ht="15" customHeight="1">
      <c r="B23" s="320" t="str">
        <f xml:space="preserve">
IF(OR(テーブル!B2="交付申請",テーブル!B2="交付申請（２次以降）",テーブル!B2="事前協議"),"３　所要額調書（様式１－１、１－２）",
IF(テーブル!B2="変更申請","３　所要額調書（様式１－１、１－２）",
IF(テーブル!B2="実績報告","３　経費精算書（様式３－１、３－２）")))</f>
        <v>３　所要額調書（様式１－１、１－２）</v>
      </c>
    </row>
    <row r="24" spans="2:21" ht="15" customHeight="1">
      <c r="B24" s="334" t="s">
        <v>755</v>
      </c>
      <c r="C24" s="335"/>
      <c r="D24" s="335"/>
      <c r="E24" s="335"/>
      <c r="F24" s="335"/>
      <c r="G24" s="335"/>
      <c r="H24" s="335"/>
      <c r="I24" s="335"/>
      <c r="J24" s="335"/>
      <c r="K24" s="335"/>
      <c r="L24" s="335"/>
      <c r="M24" s="335"/>
    </row>
    <row r="25" spans="2:21" ht="15" customHeight="1">
      <c r="B25" s="682" t="str">
        <f xml:space="preserve">
IF(OR(テーブル!B2="交付申請",テーブル!B2="交付申請（２次以降）",テーブル!B2="事前協議"),"（１）歳入歳出予算書（又は見込書）抄本（様式１－３）",
IF(テーブル!B2="変更申請","（１）歳入歳出予算書（又は見込書）抄本（様式１－３）",
IF(テーブル!B2="実績報告","（１）歳入歳出決算書（見込書）抄本（様式３－３）")))</f>
        <v>（１）歳入歳出予算書（又は見込書）抄本（様式１－３）</v>
      </c>
      <c r="C25" s="682"/>
      <c r="D25" s="682"/>
      <c r="E25" s="682"/>
      <c r="F25" s="682"/>
      <c r="G25" s="682"/>
      <c r="H25" s="682"/>
      <c r="I25" s="682"/>
      <c r="J25" s="682"/>
      <c r="K25" s="682"/>
      <c r="L25" s="682"/>
      <c r="M25" s="682"/>
      <c r="N25" s="682"/>
      <c r="O25" s="682"/>
      <c r="P25" s="682"/>
      <c r="Q25" s="682"/>
      <c r="R25" s="682"/>
    </row>
    <row r="26" spans="2:21" ht="15" customHeight="1">
      <c r="B26" s="682" t="str">
        <f xml:space="preserve">
IF(OR(テーブル!B2="交付申請",テーブル!B2="交付申請（２次以降）",テーブル!B2="事前協議"),"　　（注）予算書には、当該事業の補助対象事業に係る額を備考欄に記入すること。",
IF(テーブル!B2="変更申請","　　（注）予算書には、当該事業の補助対象事業に係る額を備考欄に記入すること。",
IF(テーブル!B2="実績報告","　　（注）決算書には、当該事業の補助対象事業に係る額を備考欄に記入すること。")))</f>
        <v>　　（注）予算書には、当該事業の補助対象事業に係る額を備考欄に記入すること。</v>
      </c>
      <c r="C26" s="682"/>
      <c r="D26" s="682"/>
      <c r="E26" s="682"/>
      <c r="F26" s="682"/>
      <c r="G26" s="682"/>
      <c r="H26" s="682"/>
      <c r="I26" s="682"/>
      <c r="J26" s="682"/>
      <c r="K26" s="682"/>
      <c r="L26" s="682"/>
      <c r="M26" s="682"/>
      <c r="N26" s="682"/>
      <c r="O26" s="682"/>
      <c r="P26" s="682"/>
      <c r="Q26" s="682"/>
      <c r="R26" s="682"/>
    </row>
    <row r="27" spans="2:21" ht="15" customHeight="1">
      <c r="B27" s="682" t="str">
        <f xml:space="preserve">
IF(OR(テーブル!B2="交付申請",テーブル!B2="交付申請（２次以降）",テーブル!B2="事前協議"),"（２）見積書の写し等整備品目の規格（型式）、数量、単価及び金額の確認資料",
IF(テーブル!B2="変更申請","（２）見積書の写し等整備品目の規格（型式）、数量、単価及び金額の確認資料",
IF(テーブル!B2="実績報告","（２）設備を配置したフロアの平面図、整備仕様書、作業手順書")))</f>
        <v>（２）見積書の写し等整備品目の規格（型式）、数量、単価及び金額の確認資料</v>
      </c>
      <c r="C27" s="682"/>
      <c r="D27" s="682"/>
      <c r="E27" s="682"/>
      <c r="F27" s="682"/>
      <c r="G27" s="682"/>
      <c r="H27" s="682"/>
      <c r="I27" s="682"/>
      <c r="J27" s="682"/>
      <c r="K27" s="682"/>
      <c r="L27" s="682"/>
      <c r="M27" s="682"/>
      <c r="N27" s="682"/>
      <c r="O27" s="682"/>
      <c r="P27" s="682"/>
      <c r="Q27" s="682"/>
      <c r="R27" s="682"/>
    </row>
    <row r="28" spans="2:21" ht="15" customHeight="1">
      <c r="B28" s="682" t="str">
        <f xml:space="preserve">
IF(OR(テーブル!B2="交付申請",テーブル!B2="交付申請（２次以降）",テーブル!B2="事前協議"),"",
IF(テーブル!B2="変更申請","",
IF(テーブル!B2="実績報告","　（注）交付申請書又は変更交付申請書に添付した書類に変更がない場合は、省略することができる。")))</f>
        <v/>
      </c>
      <c r="C28" s="682"/>
      <c r="D28" s="682"/>
      <c r="E28" s="682"/>
      <c r="F28" s="682"/>
      <c r="G28" s="682"/>
      <c r="H28" s="682"/>
      <c r="I28" s="682"/>
      <c r="J28" s="682"/>
      <c r="K28" s="682"/>
      <c r="L28" s="682"/>
      <c r="M28" s="682"/>
      <c r="N28" s="682"/>
      <c r="O28" s="682"/>
      <c r="P28" s="682"/>
      <c r="Q28" s="682"/>
      <c r="R28" s="682"/>
    </row>
    <row r="29" spans="2:21" ht="15" customHeight="1">
      <c r="B29" s="682" t="str">
        <f xml:space="preserve">
IF(OR(テーブル!B2="交付申請",テーブル!B2="交付申請（２次以降）",テーブル!B2="事前協議"),"（３）以下に示す内容がわかる資料",
IF(テーブル!B2="変更申請","（３）以下に示す内容がわかる資料",
IF(テーブル!B2="実績報告","（３）契約書の写し、検収調書の写し等事業経費等を確認できる書類")))</f>
        <v>（３）以下に示す内容がわかる資料</v>
      </c>
      <c r="C29" s="682"/>
      <c r="D29" s="682"/>
      <c r="E29" s="682"/>
      <c r="F29" s="682"/>
      <c r="G29" s="682"/>
      <c r="H29" s="682"/>
      <c r="I29" s="682"/>
      <c r="J29" s="682"/>
      <c r="K29" s="682"/>
      <c r="L29" s="682"/>
      <c r="M29" s="682"/>
      <c r="N29" s="682"/>
      <c r="O29" s="682"/>
      <c r="P29" s="682"/>
      <c r="Q29" s="682"/>
      <c r="R29" s="682"/>
    </row>
    <row r="30" spans="2:21" ht="15" customHeight="1">
      <c r="B30" s="333" t="s">
        <v>756</v>
      </c>
      <c r="C30" s="686" t="str">
        <f xml:space="preserve">
IF(OR(テーブル!B2="交付申請",テーブル!B2="交付申請（２次以降）",テーブル!B2="事前協議"),"ア　初度設備関係",
IF(テーブル!B2="変更申請","ア　初度設備関係",
IF(テーブル!B2="実績報告","")))</f>
        <v>ア　初度設備関係</v>
      </c>
      <c r="D30" s="686"/>
      <c r="E30" s="686"/>
      <c r="F30" s="686"/>
      <c r="G30" s="686"/>
      <c r="H30" s="686"/>
      <c r="I30" s="686"/>
      <c r="J30" s="686"/>
      <c r="K30" s="686"/>
      <c r="L30" s="686"/>
      <c r="M30" s="686"/>
      <c r="N30" s="686"/>
      <c r="O30" s="686"/>
      <c r="P30" s="686"/>
      <c r="Q30" s="686"/>
      <c r="R30" s="686"/>
      <c r="U30" s="336" t="s">
        <v>757</v>
      </c>
    </row>
    <row r="31" spans="2:21" ht="32.15" customHeight="1">
      <c r="B31" s="333"/>
      <c r="C31" s="686" t="str">
        <f xml:space="preserve">
IF(OR(テーブル!B2="交付申請",テーブル!B2="交付申請（２次以降）",テーブル!B2="事前協議"),
"　設備を配置するフロアの平面図、整備仕様書等院内感染防止に配慮した病床の新築又は増築する数及びこれに伴う整備であることの確認資料",
IF(テーブル!B2="変更申請",
"　設備を配置するフロアの平面図、整備仕様書等院内感染防止に配慮した病床の新築又は増築する数及びこれに伴う整備であることの確認資料",
IF(テーブル!B2="実績報告","")))</f>
        <v>　設備を配置するフロアの平面図、整備仕様書等院内感染防止に配慮した病床の新築又は増築する数及びこれに伴う整備であることの確認資料</v>
      </c>
      <c r="D31" s="686"/>
      <c r="E31" s="686"/>
      <c r="F31" s="686"/>
      <c r="G31" s="686"/>
      <c r="H31" s="686"/>
      <c r="I31" s="686"/>
      <c r="J31" s="686"/>
      <c r="K31" s="686"/>
      <c r="L31" s="686"/>
      <c r="M31" s="686"/>
      <c r="N31" s="686"/>
      <c r="O31" s="686"/>
      <c r="P31" s="686"/>
      <c r="Q31" s="686"/>
      <c r="R31" s="686"/>
      <c r="U31" s="336" t="s">
        <v>758</v>
      </c>
    </row>
    <row r="32" spans="2:21" ht="32.15" customHeight="1">
      <c r="B32" s="333"/>
      <c r="C32" s="686" t="str">
        <f xml:space="preserve">
IF(OR(テーブル!B2="交付申請",テーブル!B2="交付申請（２次以降）",テーブル!B2="事前協議"),
"イ　簡易病室関係及び紫外線照射装置導入関係"&amp;CHAR(10)&amp;"・使用する場所・設備の仕様",
IF(テーブル!B2="変更申請",
"イ　簡易病室関係及び紫外線照射装置導入関係"&amp;CHAR(10)&amp;"・使用する場所・設備の仕様",
IF(テーブル!B2="実績報告","")))</f>
        <v>イ　簡易病室関係及び紫外線照射装置導入関係
・使用する場所・設備の仕様</v>
      </c>
      <c r="D32" s="686"/>
      <c r="E32" s="686"/>
      <c r="F32" s="686"/>
      <c r="G32" s="686"/>
      <c r="H32" s="686"/>
      <c r="I32" s="686"/>
      <c r="J32" s="686"/>
      <c r="K32" s="686"/>
      <c r="L32" s="686"/>
      <c r="M32" s="686"/>
      <c r="N32" s="686"/>
      <c r="O32" s="686"/>
      <c r="P32" s="686"/>
      <c r="Q32" s="686"/>
      <c r="R32" s="686"/>
    </row>
    <row r="33" spans="2:18" ht="15" customHeight="1">
      <c r="B33" s="682" t="str">
        <f xml:space="preserve">
IF(OR(テーブル!B2="交付申請",テーブル!B2="交付申請（２次以降）",テーブル!B2="事前協議"),"（４）その他参考となる書類",
IF(テーブル!B2="変更申請","（４）その他参考となる書類",
IF(テーブル!B2="実績報告","（４）簡易病室関係")))</f>
        <v>（４）その他参考となる書類</v>
      </c>
      <c r="C33" s="682"/>
      <c r="D33" s="682"/>
      <c r="E33" s="682"/>
      <c r="F33" s="682"/>
      <c r="G33" s="682"/>
      <c r="H33" s="682"/>
      <c r="I33" s="682"/>
      <c r="J33" s="682"/>
      <c r="K33" s="682"/>
      <c r="L33" s="682"/>
      <c r="M33" s="682"/>
      <c r="N33" s="682"/>
      <c r="O33" s="682"/>
      <c r="P33" s="682"/>
      <c r="Q33" s="682"/>
      <c r="R33" s="682"/>
    </row>
    <row r="34" spans="2:18" ht="36" customHeight="1">
      <c r="B34" s="333"/>
      <c r="C34" s="682" t="str">
        <f xml:space="preserve">
IF(OR(テーブル!B2="交付申請",テーブル!B2="交付申請（２次以降）",テーブル!B2="事前協議"),"",
IF(テーブル!B2="変更申請","（注）様式１－１において当初申請と異なる箇所については、変更前を下段に（）書きし、変更後を上段に対応して記入すること。",
IF(テーブル!B2="実績報告","　事業の完成を確認できる全景及び室内主要部の写真")))</f>
        <v/>
      </c>
      <c r="D34" s="682"/>
      <c r="E34" s="682"/>
      <c r="F34" s="682"/>
      <c r="G34" s="682"/>
      <c r="H34" s="682"/>
      <c r="I34" s="682"/>
      <c r="J34" s="682"/>
      <c r="K34" s="682"/>
      <c r="L34" s="682"/>
      <c r="M34" s="682"/>
      <c r="N34" s="682"/>
      <c r="O34" s="682"/>
      <c r="P34" s="682"/>
      <c r="Q34" s="682"/>
      <c r="R34" s="682"/>
    </row>
    <row r="35" spans="2:18" ht="25" customHeight="1">
      <c r="B35" s="320" t="str">
        <f xml:space="preserve">
IF(OR(テーブル!B2="交付申請",テーブル!B2="交付申請（２次以降）",テーブル!B2="事前協議"),"【申請にあたっての申立事項】",
IF(テーブル!B2="変更申請","",
IF(テーブル!B2="実績報告","")))</f>
        <v>【申請にあたっての申立事項】</v>
      </c>
    </row>
    <row r="36" spans="2:18" ht="16" customHeight="1">
      <c r="B36" s="688" t="str">
        <f xml:space="preserve">
IF(AND(テーブル!B2="実績報告",はじめに入力してください!O28="×"),"",
IF(AND(テーブル!B2="実績報告",はじめに入力してください!O28="○"),"",
IF(AND(テーブル!B2="変更申請",はじめに入力してください!O28="×"),"",
IF(AND(テーブル!B2="変更申請",はじめに入力してください!O28="○"),"",
IF(AND(OR(テーブル!B2="交付申請",テーブル!B2="交付申請（２次以降）",テーブル!B2="事前協議"),はじめに入力してください!O28="×"),U30,
IF(AND(OR(テーブル!B2="交付申請",テーブル!B2="交付申請（２次以降）",テーブル!B2="事前協議"),はじめに入力してください!O28="○"),U31))))))</f>
        <v>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本補助金の収入、支出等に係る証拠書類を５年間適切に整備保管すること。
□　暴力団員又は暴力団関係者と実質的を含めいかなる関係も有していないこと。</v>
      </c>
      <c r="C36" s="688"/>
      <c r="D36" s="688"/>
      <c r="E36" s="688"/>
      <c r="F36" s="688"/>
      <c r="G36" s="688"/>
      <c r="H36" s="688"/>
      <c r="I36" s="688"/>
      <c r="J36" s="688"/>
      <c r="K36" s="688"/>
      <c r="L36" s="688"/>
      <c r="M36" s="688"/>
      <c r="N36" s="688"/>
      <c r="O36" s="688"/>
      <c r="P36" s="688"/>
      <c r="Q36" s="688"/>
      <c r="R36" s="688"/>
    </row>
    <row r="37" spans="2:18" ht="16" customHeight="1">
      <c r="B37" s="688"/>
      <c r="C37" s="688"/>
      <c r="D37" s="688"/>
      <c r="E37" s="688"/>
      <c r="F37" s="688"/>
      <c r="G37" s="688"/>
      <c r="H37" s="688"/>
      <c r="I37" s="688"/>
      <c r="J37" s="688"/>
      <c r="K37" s="688"/>
      <c r="L37" s="688"/>
      <c r="M37" s="688"/>
      <c r="N37" s="688"/>
      <c r="O37" s="688"/>
      <c r="P37" s="688"/>
      <c r="Q37" s="688"/>
      <c r="R37" s="688"/>
    </row>
    <row r="38" spans="2:18" ht="16" customHeight="1">
      <c r="B38" s="688"/>
      <c r="C38" s="688"/>
      <c r="D38" s="688"/>
      <c r="E38" s="688"/>
      <c r="F38" s="688"/>
      <c r="G38" s="688"/>
      <c r="H38" s="688"/>
      <c r="I38" s="688"/>
      <c r="J38" s="688"/>
      <c r="K38" s="688"/>
      <c r="L38" s="688"/>
      <c r="M38" s="688"/>
      <c r="N38" s="688"/>
      <c r="O38" s="688"/>
      <c r="P38" s="688"/>
      <c r="Q38" s="688"/>
      <c r="R38" s="688"/>
    </row>
    <row r="39" spans="2:18" ht="16" customHeight="1">
      <c r="B39" s="688"/>
      <c r="C39" s="688"/>
      <c r="D39" s="688"/>
      <c r="E39" s="688"/>
      <c r="F39" s="688"/>
      <c r="G39" s="688"/>
      <c r="H39" s="688"/>
      <c r="I39" s="688"/>
      <c r="J39" s="688"/>
      <c r="K39" s="688"/>
      <c r="L39" s="688"/>
      <c r="M39" s="688"/>
      <c r="N39" s="688"/>
      <c r="O39" s="688"/>
      <c r="P39" s="688"/>
      <c r="Q39" s="688"/>
      <c r="R39" s="688"/>
    </row>
    <row r="40" spans="2:18" ht="16" customHeight="1">
      <c r="B40" s="688"/>
      <c r="C40" s="688"/>
      <c r="D40" s="688"/>
      <c r="E40" s="688"/>
      <c r="F40" s="688"/>
      <c r="G40" s="688"/>
      <c r="H40" s="688"/>
      <c r="I40" s="688"/>
      <c r="J40" s="688"/>
      <c r="K40" s="688"/>
      <c r="L40" s="688"/>
      <c r="M40" s="688"/>
      <c r="N40" s="688"/>
      <c r="O40" s="688"/>
      <c r="P40" s="688"/>
      <c r="Q40" s="688"/>
      <c r="R40" s="688"/>
    </row>
    <row r="41" spans="2:18" ht="15" customHeight="1"/>
    <row r="42" spans="2:18" ht="15" customHeight="1">
      <c r="J42" s="687" t="s">
        <v>108</v>
      </c>
      <c r="K42" s="687"/>
      <c r="L42" s="676" t="str">
        <f>IF(はじめに入力してください!H16=0,"",はじめに入力してください!H16)</f>
        <v/>
      </c>
      <c r="M42" s="676"/>
      <c r="N42" s="676"/>
      <c r="O42" s="676"/>
      <c r="P42" s="676"/>
      <c r="Q42" s="676"/>
      <c r="R42" s="676"/>
    </row>
    <row r="43" spans="2:18" ht="15" customHeight="1">
      <c r="J43" s="687" t="s">
        <v>110</v>
      </c>
      <c r="K43" s="687"/>
      <c r="L43" s="676" t="str">
        <f>IF(はじめに入力してください!H17=0,"",はじめに入力してください!H17)</f>
        <v/>
      </c>
      <c r="M43" s="676"/>
      <c r="N43" s="676"/>
      <c r="O43" s="676"/>
      <c r="P43" s="676"/>
      <c r="Q43" s="676"/>
      <c r="R43" s="676"/>
    </row>
    <row r="44" spans="2:18" ht="15" customHeight="1">
      <c r="J44" s="687" t="s">
        <v>759</v>
      </c>
      <c r="K44" s="687"/>
      <c r="L44" s="676" t="str">
        <f>IF(はじめに入力してください!H18=0,"",はじめに入力してください!H18)</f>
        <v/>
      </c>
      <c r="M44" s="676"/>
      <c r="N44" s="676"/>
      <c r="O44" s="676"/>
      <c r="P44" s="676"/>
      <c r="Q44" s="676"/>
      <c r="R44" s="676"/>
    </row>
    <row r="45" spans="2:18" ht="15" customHeight="1">
      <c r="J45" s="687" t="s">
        <v>760</v>
      </c>
      <c r="K45" s="687"/>
      <c r="L45" s="676" t="str">
        <f>IF(はじめに入力してください!H19=0,"",はじめに入力してください!H19)</f>
        <v/>
      </c>
      <c r="M45" s="676"/>
      <c r="N45" s="676"/>
      <c r="O45" s="676"/>
      <c r="P45" s="676"/>
      <c r="Q45" s="676"/>
      <c r="R45" s="676"/>
    </row>
    <row r="46" spans="2:18" ht="15" customHeight="1"/>
    <row r="50" spans="39:42" ht="30" customHeight="1">
      <c r="AM50" s="337"/>
      <c r="AN50" s="338"/>
      <c r="AO50" s="338"/>
      <c r="AP50" s="339"/>
    </row>
    <row r="51" spans="39:42" ht="30" customHeight="1">
      <c r="AM51" s="340"/>
      <c r="AN51" s="341"/>
      <c r="AO51" s="341"/>
      <c r="AP51" s="342"/>
    </row>
    <row r="52" spans="39:42" ht="27" customHeight="1">
      <c r="AM52" s="343"/>
      <c r="AN52" s="603"/>
      <c r="AO52" s="604"/>
      <c r="AP52" s="344"/>
    </row>
    <row r="53" spans="39:42" ht="27" customHeight="1">
      <c r="AM53" s="345"/>
      <c r="AN53" s="603"/>
      <c r="AO53" s="604"/>
      <c r="AP53" s="344"/>
    </row>
    <row r="54" spans="39:42" ht="25" customHeight="1">
      <c r="AM54" s="346"/>
      <c r="AN54" s="347"/>
      <c r="AO54" s="347"/>
      <c r="AP54" s="348"/>
    </row>
    <row r="55" spans="39:42" ht="30" customHeight="1">
      <c r="AM55" s="340"/>
      <c r="AN55" s="341"/>
      <c r="AO55" s="341"/>
      <c r="AP55" s="342"/>
    </row>
    <row r="56" spans="39:42" ht="20.149999999999999" customHeight="1">
      <c r="AM56" s="349"/>
      <c r="AN56" s="350"/>
      <c r="AO56" s="350"/>
      <c r="AP56" s="351"/>
    </row>
  </sheetData>
  <sheetProtection algorithmName="SHA-512" hashValue="hZWcTkgJsk99QKU6VsBoF81O8Lskh2QTMB9kLHGsgvDShEpw/LyQBTiRHOQxn0Tytuw6Zu5rmsqngMZpc623nQ==" saltValue="fRmr/1dmLugDgY1+QZO/rQ==" spinCount="100000" sheet="1" formatCells="0" formatColumns="0" formatRows="0"/>
  <mergeCells count="67">
    <mergeCell ref="J45:K45"/>
    <mergeCell ref="L45:R45"/>
    <mergeCell ref="AN52:AO52"/>
    <mergeCell ref="AN53:AO53"/>
    <mergeCell ref="B36:R40"/>
    <mergeCell ref="J42:K42"/>
    <mergeCell ref="L42:R42"/>
    <mergeCell ref="J43:K43"/>
    <mergeCell ref="L43:R43"/>
    <mergeCell ref="J44:K44"/>
    <mergeCell ref="L44:R44"/>
    <mergeCell ref="C34:R34"/>
    <mergeCell ref="B22:F22"/>
    <mergeCell ref="G22:K22"/>
    <mergeCell ref="B25:R25"/>
    <mergeCell ref="B26:R26"/>
    <mergeCell ref="B27:R27"/>
    <mergeCell ref="B28:R28"/>
    <mergeCell ref="B29:R29"/>
    <mergeCell ref="C30:R30"/>
    <mergeCell ref="C31:R31"/>
    <mergeCell ref="C32:R32"/>
    <mergeCell ref="B33:R33"/>
    <mergeCell ref="B21:F21"/>
    <mergeCell ref="G21:K21"/>
    <mergeCell ref="I9:K9"/>
    <mergeCell ref="L9:R9"/>
    <mergeCell ref="I10:K10"/>
    <mergeCell ref="L10:R10"/>
    <mergeCell ref="B12:R12"/>
    <mergeCell ref="B15:R15"/>
    <mergeCell ref="C17:R17"/>
    <mergeCell ref="C18:R18"/>
    <mergeCell ref="B19:Q19"/>
    <mergeCell ref="B20:F20"/>
    <mergeCell ref="G20:K20"/>
    <mergeCell ref="AZ4:AZ5"/>
    <mergeCell ref="BA4:BA5"/>
    <mergeCell ref="BB4:BB5"/>
    <mergeCell ref="N5:Q5"/>
    <mergeCell ref="B6:G6"/>
    <mergeCell ref="AW4:AW5"/>
    <mergeCell ref="AX4:AX5"/>
    <mergeCell ref="AY4:AY5"/>
    <mergeCell ref="AJ4:AJ5"/>
    <mergeCell ref="N4:Q4"/>
    <mergeCell ref="Z4:Z5"/>
    <mergeCell ref="AA4:AA5"/>
    <mergeCell ref="AB4:AB5"/>
    <mergeCell ref="AC4:AC5"/>
    <mergeCell ref="AD4:AD5"/>
    <mergeCell ref="I8:K8"/>
    <mergeCell ref="L8:R8"/>
    <mergeCell ref="AT4:AT5"/>
    <mergeCell ref="AU4:AU5"/>
    <mergeCell ref="AV4:AV5"/>
    <mergeCell ref="AK4:AL4"/>
    <mergeCell ref="AM4:AN4"/>
    <mergeCell ref="AO4:AO5"/>
    <mergeCell ref="AP4:AQ4"/>
    <mergeCell ref="AR4:AR5"/>
    <mergeCell ref="AS4:AS5"/>
    <mergeCell ref="AE4:AE5"/>
    <mergeCell ref="AF4:AF5"/>
    <mergeCell ref="AG4:AG5"/>
    <mergeCell ref="AH4:AH5"/>
    <mergeCell ref="AI4:AI5"/>
  </mergeCells>
  <phoneticPr fontId="5"/>
  <conditionalFormatting sqref="G20:G22">
    <cfRule type="containsText" dxfId="93" priority="1" operator="containsText" text="不備">
      <formula>NOT(ISERROR(SEARCH("不備",G20)))</formula>
    </cfRule>
  </conditionalFormatting>
  <dataValidations count="1">
    <dataValidation type="list" allowBlank="1" showInputMessage="1" showErrorMessage="1" sqref="V8" xr:uid="{00000000-0002-0000-0700-000000000000}">
      <formula1>$W$8:$W$10</formula1>
    </dataValidation>
  </dataValidations>
  <printOptions horizontalCentered="1"/>
  <pageMargins left="0.59055118110236227" right="0.39370078740157483" top="0.39370078740157483" bottom="0.39370078740157483"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Z56"/>
  <sheetViews>
    <sheetView showGridLines="0" view="pageBreakPreview" zoomScale="40" zoomScaleNormal="100" zoomScaleSheetLayoutView="40" workbookViewId="0">
      <selection activeCell="W15" sqref="W15:AJ16"/>
    </sheetView>
  </sheetViews>
  <sheetFormatPr defaultColWidth="9" defaultRowHeight="18"/>
  <cols>
    <col min="1" max="36" width="3.58203125" style="357" customWidth="1"/>
    <col min="37" max="47" width="9" style="357"/>
    <col min="48" max="48" width="9.33203125" style="357" bestFit="1" customWidth="1"/>
    <col min="49" max="49" width="75.58203125" style="357" customWidth="1"/>
    <col min="50" max="16384" width="9" style="357"/>
  </cols>
  <sheetData>
    <row r="2" spans="1:49" s="362" customFormat="1" ht="22.5">
      <c r="A2" s="358"/>
      <c r="B2" s="359"/>
      <c r="C2" s="360"/>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V2" s="363"/>
      <c r="AW2" s="364"/>
    </row>
    <row r="3" spans="1:49" s="362" customFormat="1" ht="20">
      <c r="A3" s="700" t="s">
        <v>773</v>
      </c>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V3" s="363"/>
      <c r="AW3" s="364"/>
    </row>
    <row r="4" spans="1:49" s="362" customFormat="1" ht="20">
      <c r="A4" s="700"/>
      <c r="B4" s="701"/>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V4" s="363"/>
      <c r="AW4" s="364"/>
    </row>
    <row r="5" spans="1:49" s="362" customFormat="1" ht="20">
      <c r="A5" s="701"/>
      <c r="B5" s="701"/>
      <c r="C5" s="701"/>
      <c r="D5" s="701"/>
      <c r="E5" s="701"/>
      <c r="F5" s="701"/>
      <c r="G5" s="701"/>
      <c r="H5" s="701"/>
      <c r="I5" s="701"/>
      <c r="J5" s="701"/>
      <c r="K5" s="701"/>
      <c r="L5" s="701"/>
      <c r="M5" s="701"/>
      <c r="N5" s="701"/>
      <c r="O5" s="701"/>
      <c r="P5" s="701"/>
      <c r="Q5" s="701"/>
      <c r="R5" s="701"/>
      <c r="S5" s="701"/>
      <c r="T5" s="701"/>
      <c r="U5" s="701"/>
      <c r="V5" s="701"/>
      <c r="W5" s="701"/>
      <c r="X5" s="701"/>
      <c r="Y5" s="701"/>
      <c r="Z5" s="701"/>
      <c r="AA5" s="701"/>
      <c r="AB5" s="701"/>
      <c r="AC5" s="701"/>
      <c r="AD5" s="701"/>
      <c r="AE5" s="701"/>
      <c r="AF5" s="701"/>
      <c r="AG5" s="701"/>
      <c r="AH5" s="701"/>
      <c r="AI5" s="701"/>
      <c r="AJ5" s="701"/>
      <c r="AV5" s="363"/>
      <c r="AW5" s="364"/>
    </row>
    <row r="6" spans="1:49" s="362" customFormat="1" ht="20">
      <c r="AV6" s="363"/>
      <c r="AW6" s="364"/>
    </row>
    <row r="7" spans="1:49" s="362" customFormat="1" ht="20">
      <c r="N7" s="691" t="s">
        <v>1152</v>
      </c>
      <c r="O7" s="691"/>
      <c r="P7" s="691"/>
      <c r="Q7" s="691"/>
      <c r="R7" s="691"/>
      <c r="S7" s="702" t="str">
        <f>表紙!L9</f>
        <v/>
      </c>
      <c r="T7" s="702"/>
      <c r="U7" s="702"/>
      <c r="V7" s="702"/>
      <c r="W7" s="702"/>
      <c r="X7" s="702"/>
      <c r="Y7" s="702"/>
      <c r="Z7" s="702"/>
      <c r="AA7" s="702"/>
      <c r="AB7" s="702"/>
      <c r="AC7" s="702"/>
      <c r="AD7" s="702"/>
      <c r="AE7" s="702"/>
      <c r="AF7" s="702"/>
      <c r="AG7" s="702"/>
      <c r="AH7" s="702"/>
      <c r="AI7" s="702"/>
      <c r="AJ7" s="702"/>
      <c r="AV7" s="363"/>
      <c r="AW7" s="364"/>
    </row>
    <row r="8" spans="1:49" s="362" customFormat="1" ht="20">
      <c r="N8" s="691"/>
      <c r="O8" s="691"/>
      <c r="P8" s="691"/>
      <c r="Q8" s="691"/>
      <c r="R8" s="691"/>
      <c r="S8" s="702"/>
      <c r="T8" s="702"/>
      <c r="U8" s="702"/>
      <c r="V8" s="702"/>
      <c r="W8" s="702"/>
      <c r="X8" s="702"/>
      <c r="Y8" s="702"/>
      <c r="Z8" s="702"/>
      <c r="AA8" s="702"/>
      <c r="AB8" s="702"/>
      <c r="AC8" s="702"/>
      <c r="AD8" s="702"/>
      <c r="AE8" s="702"/>
      <c r="AF8" s="702"/>
      <c r="AG8" s="702"/>
      <c r="AH8" s="702"/>
      <c r="AI8" s="702"/>
      <c r="AJ8" s="702"/>
      <c r="AV8" s="363"/>
      <c r="AW8" s="364"/>
    </row>
    <row r="9" spans="1:49" s="362" customFormat="1" ht="20">
      <c r="N9" s="691" t="s">
        <v>1153</v>
      </c>
      <c r="O9" s="691"/>
      <c r="P9" s="691"/>
      <c r="Q9" s="691"/>
      <c r="R9" s="691"/>
      <c r="S9" s="702" t="str">
        <f>表紙!L8</f>
        <v/>
      </c>
      <c r="T9" s="702"/>
      <c r="U9" s="702"/>
      <c r="V9" s="702"/>
      <c r="W9" s="702"/>
      <c r="X9" s="702"/>
      <c r="Y9" s="702"/>
      <c r="Z9" s="702"/>
      <c r="AA9" s="702"/>
      <c r="AB9" s="702"/>
      <c r="AC9" s="702"/>
      <c r="AD9" s="702"/>
      <c r="AE9" s="702"/>
      <c r="AF9" s="702"/>
      <c r="AG9" s="702"/>
      <c r="AH9" s="702"/>
      <c r="AI9" s="702"/>
      <c r="AJ9" s="702"/>
      <c r="AV9" s="363"/>
      <c r="AW9" s="364"/>
    </row>
    <row r="10" spans="1:49" s="362" customFormat="1" ht="20">
      <c r="N10" s="691"/>
      <c r="O10" s="691"/>
      <c r="P10" s="691"/>
      <c r="Q10" s="691"/>
      <c r="R10" s="691"/>
      <c r="S10" s="702"/>
      <c r="T10" s="702"/>
      <c r="U10" s="702"/>
      <c r="V10" s="702"/>
      <c r="W10" s="702"/>
      <c r="X10" s="702"/>
      <c r="Y10" s="702"/>
      <c r="Z10" s="702"/>
      <c r="AA10" s="702"/>
      <c r="AB10" s="702"/>
      <c r="AC10" s="702"/>
      <c r="AD10" s="702"/>
      <c r="AE10" s="702"/>
      <c r="AF10" s="702"/>
      <c r="AG10" s="702"/>
      <c r="AH10" s="702"/>
      <c r="AI10" s="702"/>
      <c r="AJ10" s="702"/>
      <c r="AV10" s="363"/>
      <c r="AW10" s="364"/>
    </row>
    <row r="11" spans="1:49" s="362" customFormat="1" ht="20">
      <c r="N11" s="691" t="s">
        <v>1154</v>
      </c>
      <c r="O11" s="691"/>
      <c r="P11" s="691"/>
      <c r="Q11" s="691"/>
      <c r="R11" s="691"/>
      <c r="S11" s="692" t="str">
        <f>表紙!L10</f>
        <v>　</v>
      </c>
      <c r="T11" s="693"/>
      <c r="U11" s="693"/>
      <c r="V11" s="693"/>
      <c r="W11" s="693"/>
      <c r="X11" s="694"/>
      <c r="Y11" s="694"/>
      <c r="Z11" s="694"/>
      <c r="AA11" s="694"/>
      <c r="AB11" s="694"/>
      <c r="AC11" s="694"/>
      <c r="AD11" s="694"/>
      <c r="AE11" s="694"/>
      <c r="AF11" s="694"/>
      <c r="AG11" s="694"/>
      <c r="AH11" s="694"/>
      <c r="AI11" s="694"/>
      <c r="AJ11" s="695"/>
      <c r="AV11" s="363"/>
      <c r="AW11" s="364"/>
    </row>
    <row r="12" spans="1:49" s="362" customFormat="1" ht="20">
      <c r="N12" s="691"/>
      <c r="O12" s="691"/>
      <c r="P12" s="691"/>
      <c r="Q12" s="691"/>
      <c r="R12" s="691"/>
      <c r="S12" s="696"/>
      <c r="T12" s="697"/>
      <c r="U12" s="697"/>
      <c r="V12" s="697"/>
      <c r="W12" s="697"/>
      <c r="X12" s="698"/>
      <c r="Y12" s="698"/>
      <c r="Z12" s="698"/>
      <c r="AA12" s="698"/>
      <c r="AB12" s="698"/>
      <c r="AC12" s="698"/>
      <c r="AD12" s="698"/>
      <c r="AE12" s="698"/>
      <c r="AF12" s="698"/>
      <c r="AG12" s="698"/>
      <c r="AH12" s="698"/>
      <c r="AI12" s="698"/>
      <c r="AJ12" s="699"/>
      <c r="AV12" s="363"/>
      <c r="AW12" s="364"/>
    </row>
    <row r="13" spans="1:49" s="362" customFormat="1" ht="20">
      <c r="N13" s="691" t="s">
        <v>774</v>
      </c>
      <c r="O13" s="691"/>
      <c r="P13" s="691"/>
      <c r="Q13" s="691"/>
      <c r="R13" s="691"/>
      <c r="S13" s="706" t="s">
        <v>775</v>
      </c>
      <c r="T13" s="706"/>
      <c r="U13" s="706"/>
      <c r="V13" s="706"/>
      <c r="W13" s="707" t="str">
        <f>表紙!L43</f>
        <v/>
      </c>
      <c r="X13" s="707"/>
      <c r="Y13" s="707"/>
      <c r="Z13" s="707"/>
      <c r="AA13" s="707"/>
      <c r="AB13" s="707"/>
      <c r="AC13" s="707"/>
      <c r="AD13" s="707"/>
      <c r="AE13" s="707"/>
      <c r="AF13" s="707"/>
      <c r="AG13" s="707"/>
      <c r="AH13" s="707"/>
      <c r="AI13" s="707"/>
      <c r="AJ13" s="707"/>
      <c r="AV13" s="363"/>
      <c r="AW13" s="364"/>
    </row>
    <row r="14" spans="1:49" s="362" customFormat="1" ht="20">
      <c r="N14" s="691"/>
      <c r="O14" s="691"/>
      <c r="P14" s="691"/>
      <c r="Q14" s="691"/>
      <c r="R14" s="691"/>
      <c r="S14" s="706"/>
      <c r="T14" s="706"/>
      <c r="U14" s="706"/>
      <c r="V14" s="706"/>
      <c r="W14" s="707"/>
      <c r="X14" s="707"/>
      <c r="Y14" s="707"/>
      <c r="Z14" s="707"/>
      <c r="AA14" s="707"/>
      <c r="AB14" s="707"/>
      <c r="AC14" s="707"/>
      <c r="AD14" s="707"/>
      <c r="AE14" s="707"/>
      <c r="AF14" s="707"/>
      <c r="AG14" s="707"/>
      <c r="AH14" s="707"/>
      <c r="AI14" s="707"/>
      <c r="AJ14" s="707"/>
      <c r="AV14" s="363"/>
      <c r="AW14" s="364"/>
    </row>
    <row r="15" spans="1:49" s="362" customFormat="1" ht="20">
      <c r="N15" s="691"/>
      <c r="O15" s="691"/>
      <c r="P15" s="691"/>
      <c r="Q15" s="691"/>
      <c r="R15" s="691"/>
      <c r="S15" s="706" t="s">
        <v>776</v>
      </c>
      <c r="T15" s="706"/>
      <c r="U15" s="706"/>
      <c r="V15" s="706"/>
      <c r="W15" s="707" t="str">
        <f>表紙!L44</f>
        <v/>
      </c>
      <c r="X15" s="707"/>
      <c r="Y15" s="707"/>
      <c r="Z15" s="707"/>
      <c r="AA15" s="707"/>
      <c r="AB15" s="707"/>
      <c r="AC15" s="707"/>
      <c r="AD15" s="707"/>
      <c r="AE15" s="707"/>
      <c r="AF15" s="707"/>
      <c r="AG15" s="707"/>
      <c r="AH15" s="707"/>
      <c r="AI15" s="707"/>
      <c r="AJ15" s="707"/>
      <c r="AV15" s="363"/>
      <c r="AW15" s="364"/>
    </row>
    <row r="16" spans="1:49" s="362" customFormat="1" ht="20">
      <c r="N16" s="691"/>
      <c r="O16" s="691"/>
      <c r="P16" s="691"/>
      <c r="Q16" s="691"/>
      <c r="R16" s="691"/>
      <c r="S16" s="706"/>
      <c r="T16" s="706"/>
      <c r="U16" s="706"/>
      <c r="V16" s="706"/>
      <c r="W16" s="707"/>
      <c r="X16" s="707"/>
      <c r="Y16" s="707"/>
      <c r="Z16" s="707"/>
      <c r="AA16" s="707"/>
      <c r="AB16" s="707"/>
      <c r="AC16" s="707"/>
      <c r="AD16" s="707"/>
      <c r="AE16" s="707"/>
      <c r="AF16" s="707"/>
      <c r="AG16" s="707"/>
      <c r="AH16" s="707"/>
      <c r="AI16" s="707"/>
      <c r="AJ16" s="707"/>
      <c r="AV16" s="363"/>
      <c r="AW16" s="364"/>
    </row>
    <row r="17" spans="1:52" s="362" customFormat="1" ht="20">
      <c r="N17" s="691"/>
      <c r="O17" s="691"/>
      <c r="P17" s="691"/>
      <c r="Q17" s="691"/>
      <c r="R17" s="691"/>
      <c r="S17" s="706" t="s">
        <v>777</v>
      </c>
      <c r="T17" s="706"/>
      <c r="U17" s="706"/>
      <c r="V17" s="706"/>
      <c r="W17" s="708" t="str">
        <f>表紙!L45</f>
        <v/>
      </c>
      <c r="X17" s="707"/>
      <c r="Y17" s="707"/>
      <c r="Z17" s="707"/>
      <c r="AA17" s="707"/>
      <c r="AB17" s="707"/>
      <c r="AC17" s="707"/>
      <c r="AD17" s="707"/>
      <c r="AE17" s="707"/>
      <c r="AF17" s="707"/>
      <c r="AG17" s="707"/>
      <c r="AH17" s="707"/>
      <c r="AI17" s="707"/>
      <c r="AJ17" s="707"/>
      <c r="AV17" s="363"/>
      <c r="AW17" s="364"/>
    </row>
    <row r="18" spans="1:52" s="362" customFormat="1" ht="20">
      <c r="N18" s="691"/>
      <c r="O18" s="691"/>
      <c r="P18" s="691"/>
      <c r="Q18" s="691"/>
      <c r="R18" s="691"/>
      <c r="S18" s="706"/>
      <c r="T18" s="706"/>
      <c r="U18" s="706"/>
      <c r="V18" s="706"/>
      <c r="W18" s="707"/>
      <c r="X18" s="707"/>
      <c r="Y18" s="707"/>
      <c r="Z18" s="707"/>
      <c r="AA18" s="707"/>
      <c r="AB18" s="707"/>
      <c r="AC18" s="707"/>
      <c r="AD18" s="707"/>
      <c r="AE18" s="707"/>
      <c r="AF18" s="707"/>
      <c r="AG18" s="707"/>
      <c r="AH18" s="707"/>
      <c r="AI18" s="707"/>
      <c r="AJ18" s="707"/>
      <c r="AV18" s="363"/>
      <c r="AW18" s="364"/>
    </row>
    <row r="19" spans="1:52" s="362" customFormat="1" ht="20">
      <c r="AV19" s="363"/>
      <c r="AW19" s="364"/>
    </row>
    <row r="20" spans="1:52" s="362" customFormat="1" ht="22.5">
      <c r="A20" s="709" t="str">
        <f>"　標記の補助金交付申請（申請額："&amp;IF(表紙!G20="金　　　　　　　　　円","金　　　　　　　　　　",TEXT(表紙!G20,"###,0"))&amp;"円）に係る振込先口座情報及び当該口座の通帳写しについては"</f>
        <v>　標記の補助金交付申請（申請額：金　　　　　　　　　　円）に係る振込先口座情報及び当該口座の通帳写しについては</v>
      </c>
      <c r="B20" s="710"/>
      <c r="C20" s="710"/>
      <c r="D20" s="710"/>
      <c r="E20" s="710"/>
      <c r="F20" s="710"/>
      <c r="G20" s="710"/>
      <c r="H20" s="711"/>
      <c r="I20" s="711"/>
      <c r="J20" s="711"/>
      <c r="K20" s="711"/>
      <c r="L20" s="711"/>
      <c r="M20" s="711"/>
      <c r="N20" s="711"/>
      <c r="O20" s="711"/>
      <c r="P20" s="711"/>
      <c r="Q20" s="711"/>
      <c r="R20" s="711"/>
      <c r="S20" s="711"/>
      <c r="T20" s="711"/>
      <c r="U20" s="711"/>
      <c r="V20" s="711"/>
      <c r="W20" s="711"/>
      <c r="X20" s="711"/>
      <c r="Y20" s="711"/>
      <c r="Z20" s="711"/>
      <c r="AA20" s="711"/>
      <c r="AB20" s="711"/>
      <c r="AC20" s="711"/>
      <c r="AD20" s="711"/>
      <c r="AE20" s="711"/>
      <c r="AF20" s="711"/>
      <c r="AG20" s="711"/>
      <c r="AH20" s="711"/>
      <c r="AI20" s="711"/>
      <c r="AJ20" s="711"/>
      <c r="AV20" s="363"/>
      <c r="AW20" s="364"/>
    </row>
    <row r="21" spans="1:52" s="362" customFormat="1" ht="22.5">
      <c r="A21" s="365" t="s">
        <v>778</v>
      </c>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V21" s="363"/>
      <c r="AW21" s="364"/>
    </row>
    <row r="22" spans="1:52" s="362" customFormat="1" ht="20">
      <c r="AV22" s="366" t="str">
        <f>IF(COUNTIF(AV23:AV31,"○")=8,"○","×")</f>
        <v>×</v>
      </c>
      <c r="AW22" s="689" t="str">
        <f>IF(COUNTIF(AV23:AV31,"×")&gt;=1,"【総合判定】入力が不十分な箇所があります。以下の赤着色の箇所を御確認ください。","【総合判定】全ての情報が正しく入力されました。")</f>
        <v>【総合判定】入力が不十分な箇所があります。以下の赤着色の箇所を御確認ください。</v>
      </c>
      <c r="AX22" s="690"/>
    </row>
    <row r="23" spans="1:52" s="362" customFormat="1" ht="22.5">
      <c r="A23" s="733" t="s">
        <v>779</v>
      </c>
      <c r="B23" s="712" t="s">
        <v>780</v>
      </c>
      <c r="C23" s="713"/>
      <c r="D23" s="713"/>
      <c r="E23" s="713"/>
      <c r="F23" s="714"/>
      <c r="G23" s="391" t="str">
        <f>IF(はじめに入力してください!H21="","",はじめに入力してください!H21)</f>
        <v/>
      </c>
      <c r="H23" s="392" t="str">
        <f>IF(はじめに入力してください!I21="","",はじめに入力してください!I21)</f>
        <v/>
      </c>
      <c r="I23" s="392" t="str">
        <f>IF(はじめに入力してください!J21="","",はじめに入力してください!J21)</f>
        <v/>
      </c>
      <c r="J23" s="393" t="str">
        <f>IF(はじめに入力してください!K21="","",はじめに入力してください!K21)</f>
        <v/>
      </c>
      <c r="K23" s="715" t="s">
        <v>781</v>
      </c>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V23" s="367" t="str">
        <f>IF(COUNTA(G23:J23)=4,"○","×")</f>
        <v>○</v>
      </c>
      <c r="AW23" s="689" t="str">
        <f>IF(AV23="×","【金融機関コード】４桁の番号が未入力又は正しく入力されていません。","４桁の金融機関コードが正しく入力されました。")</f>
        <v>４桁の金融機関コードが正しく入力されました。</v>
      </c>
      <c r="AX23" s="690"/>
      <c r="AY23" s="362" t="str">
        <f>IF(AV23="×","４桁の金融機関コードが未入力又は正しく入力されていません。/","")</f>
        <v/>
      </c>
    </row>
    <row r="24" spans="1:52" s="362" customFormat="1" ht="22.5">
      <c r="A24" s="734"/>
      <c r="B24" s="742" t="s">
        <v>782</v>
      </c>
      <c r="C24" s="707"/>
      <c r="D24" s="707"/>
      <c r="E24" s="707"/>
      <c r="F24" s="707"/>
      <c r="G24" s="391" t="str">
        <f>IF(はじめに入力してください!H23="","",はじめに入力してください!H23)</f>
        <v/>
      </c>
      <c r="H24" s="392" t="str">
        <f>IF(はじめに入力してください!I23="","",はじめに入力してください!I23)</f>
        <v/>
      </c>
      <c r="I24" s="393" t="str">
        <f>IF(はじめに入力してください!J23="","",はじめに入力してください!J23)</f>
        <v/>
      </c>
      <c r="J24" s="388"/>
      <c r="K24" s="716" t="s">
        <v>783</v>
      </c>
      <c r="L24" s="741"/>
      <c r="M24" s="741"/>
      <c r="N24" s="741"/>
      <c r="O24" s="741"/>
      <c r="P24" s="741"/>
      <c r="Q24" s="741"/>
      <c r="R24" s="741"/>
      <c r="S24" s="741"/>
      <c r="T24" s="741"/>
      <c r="U24" s="741"/>
      <c r="V24" s="741"/>
      <c r="W24" s="741"/>
      <c r="X24" s="741"/>
      <c r="Y24" s="741"/>
      <c r="Z24" s="741"/>
      <c r="AA24" s="741"/>
      <c r="AB24" s="741"/>
      <c r="AC24" s="741"/>
      <c r="AD24" s="741"/>
      <c r="AE24" s="741"/>
      <c r="AF24" s="741"/>
      <c r="AG24" s="741"/>
      <c r="AH24" s="741"/>
      <c r="AI24" s="741"/>
      <c r="AJ24" s="741"/>
      <c r="AV24" s="367" t="str">
        <f>IF(COUNTA(G24:I24)=3,"○","×")</f>
        <v>○</v>
      </c>
      <c r="AW24" s="689" t="str">
        <f>IF(AV24="×","【支店番号】３桁の番号が未入力又は正しく入力されていません。","３桁の支店番号が正しく入力されました。")</f>
        <v>３桁の支店番号が正しく入力されました。</v>
      </c>
      <c r="AX24" s="690"/>
      <c r="AY24" s="362" t="str">
        <f>IF(AV24="×","３桁の支店番号が未入力又は正しく入力されていません。/","")</f>
        <v/>
      </c>
    </row>
    <row r="25" spans="1:52" s="362" customFormat="1" ht="22.5">
      <c r="A25" s="734"/>
      <c r="B25" s="703" t="s">
        <v>784</v>
      </c>
      <c r="C25" s="704"/>
      <c r="D25" s="704"/>
      <c r="E25" s="704"/>
      <c r="F25" s="705"/>
      <c r="G25" s="737" t="str">
        <f>IF(はじめに入力してください!H22="","",はじめに入力してください!H22)</f>
        <v/>
      </c>
      <c r="H25" s="738"/>
      <c r="I25" s="738"/>
      <c r="J25" s="738"/>
      <c r="K25" s="738"/>
      <c r="L25" s="738"/>
      <c r="M25" s="739"/>
      <c r="N25" s="740" t="s">
        <v>785</v>
      </c>
      <c r="O25" s="741"/>
      <c r="P25" s="741"/>
      <c r="Q25" s="741"/>
      <c r="R25" s="741"/>
      <c r="S25" s="741"/>
      <c r="T25" s="741"/>
      <c r="U25" s="741"/>
      <c r="V25" s="741"/>
      <c r="W25" s="741"/>
      <c r="X25" s="741"/>
      <c r="Y25" s="741"/>
      <c r="Z25" s="741"/>
      <c r="AA25" s="741"/>
      <c r="AB25" s="741"/>
      <c r="AC25" s="741"/>
      <c r="AD25" s="741"/>
      <c r="AE25" s="741"/>
      <c r="AF25" s="741"/>
      <c r="AG25" s="741"/>
      <c r="AH25" s="741"/>
      <c r="AI25" s="741"/>
      <c r="AJ25" s="741"/>
      <c r="AV25" s="367" t="str">
        <f>IF(COUNTA(G25)=1,"○","×")</f>
        <v>○</v>
      </c>
      <c r="AW25" s="689" t="str">
        <f>IF(AV25="×","【金融機関名】名称が未入力です","金融機関の名称が正しく入力されました。")</f>
        <v>金融機関の名称が正しく入力されました。</v>
      </c>
      <c r="AX25" s="690"/>
      <c r="AY25" s="362" t="str">
        <f>IF(AV25="×","金融機関名が未入力です。/","")</f>
        <v/>
      </c>
    </row>
    <row r="26" spans="1:52" s="362" customFormat="1" ht="22.5">
      <c r="A26" s="734"/>
      <c r="B26" s="703" t="s">
        <v>786</v>
      </c>
      <c r="C26" s="704"/>
      <c r="D26" s="704"/>
      <c r="E26" s="704"/>
      <c r="F26" s="705"/>
      <c r="G26" s="740" t="str">
        <f>IF(はじめに入力してください!H24="","",はじめに入力してください!H24)</f>
        <v/>
      </c>
      <c r="H26" s="715"/>
      <c r="I26" s="715"/>
      <c r="J26" s="715"/>
      <c r="K26" s="715"/>
      <c r="L26" s="715"/>
      <c r="M26" s="745"/>
      <c r="N26" s="715" t="s">
        <v>787</v>
      </c>
      <c r="O26" s="716"/>
      <c r="P26" s="716"/>
      <c r="Q26" s="716"/>
      <c r="R26" s="716"/>
      <c r="S26" s="716"/>
      <c r="T26" s="716"/>
      <c r="U26" s="716"/>
      <c r="V26" s="716"/>
      <c r="W26" s="716"/>
      <c r="X26" s="716"/>
      <c r="Y26" s="716"/>
      <c r="Z26" s="716"/>
      <c r="AA26" s="716"/>
      <c r="AB26" s="716"/>
      <c r="AC26" s="716"/>
      <c r="AD26" s="716"/>
      <c r="AE26" s="716"/>
      <c r="AF26" s="716"/>
      <c r="AG26" s="716"/>
      <c r="AH26" s="716"/>
      <c r="AI26" s="716"/>
      <c r="AJ26" s="716"/>
      <c r="AV26" s="367" t="str">
        <f>IF(COUNTA(G26)=1,"○","×")</f>
        <v>○</v>
      </c>
      <c r="AW26" s="689" t="str">
        <f>IF(AV26="×","【支店名】金融機関の支店名称が未入力です","金融機関の支店名称が正しく入力されました。")</f>
        <v>金融機関の支店名称が正しく入力されました。</v>
      </c>
      <c r="AX26" s="690"/>
      <c r="AY26" s="362" t="str">
        <f>IF(AV26="×","金融機関の支店名称が未入力です。/","")</f>
        <v/>
      </c>
    </row>
    <row r="27" spans="1:52" s="362" customFormat="1" ht="24" hidden="1" customHeight="1">
      <c r="A27" s="734"/>
      <c r="B27" s="717"/>
      <c r="C27" s="716"/>
      <c r="D27" s="716"/>
      <c r="E27" s="716"/>
      <c r="F27" s="716"/>
      <c r="G27" s="716"/>
      <c r="H27" s="716"/>
      <c r="I27" s="716"/>
      <c r="J27" s="716"/>
      <c r="K27" s="716"/>
      <c r="L27" s="716"/>
      <c r="M27" s="716"/>
      <c r="N27" s="716"/>
      <c r="O27" s="716"/>
      <c r="P27" s="716"/>
      <c r="Q27" s="716"/>
      <c r="R27" s="716"/>
      <c r="S27" s="716"/>
      <c r="T27" s="716"/>
      <c r="U27" s="716"/>
      <c r="V27" s="716"/>
      <c r="W27" s="716"/>
      <c r="X27" s="716"/>
      <c r="Y27" s="716"/>
      <c r="Z27" s="716"/>
      <c r="AA27" s="716"/>
      <c r="AB27" s="716"/>
      <c r="AC27" s="716"/>
      <c r="AD27" s="716"/>
      <c r="AE27" s="716"/>
      <c r="AF27" s="716"/>
      <c r="AG27" s="716"/>
      <c r="AH27" s="716"/>
      <c r="AI27" s="716"/>
      <c r="AJ27" s="716"/>
      <c r="AV27" s="367"/>
      <c r="AW27" s="368"/>
      <c r="AX27" s="369"/>
    </row>
    <row r="28" spans="1:52" s="362" customFormat="1" ht="22.5">
      <c r="A28" s="734"/>
      <c r="B28" s="703" t="s">
        <v>788</v>
      </c>
      <c r="C28" s="704"/>
      <c r="D28" s="704"/>
      <c r="E28" s="704"/>
      <c r="F28" s="704"/>
      <c r="G28" s="718" t="str">
        <f>IF(はじめに入力してください!H25="","",はじめに入力してください!H25)</f>
        <v/>
      </c>
      <c r="H28" s="705"/>
      <c r="I28" s="719" t="s">
        <v>789</v>
      </c>
      <c r="J28" s="716"/>
      <c r="K28" s="716"/>
      <c r="L28" s="716"/>
      <c r="M28" s="716"/>
      <c r="N28" s="716"/>
      <c r="O28" s="716"/>
      <c r="P28" s="716"/>
      <c r="Q28" s="716"/>
      <c r="R28" s="716"/>
      <c r="S28" s="716"/>
      <c r="T28" s="716"/>
      <c r="U28" s="716"/>
      <c r="V28" s="716"/>
      <c r="W28" s="716"/>
      <c r="X28" s="716"/>
      <c r="Y28" s="716"/>
      <c r="Z28" s="716"/>
      <c r="AA28" s="716"/>
      <c r="AB28" s="716"/>
      <c r="AC28" s="716"/>
      <c r="AD28" s="716"/>
      <c r="AE28" s="716"/>
      <c r="AF28" s="716"/>
      <c r="AG28" s="716"/>
      <c r="AH28" s="716"/>
      <c r="AI28" s="716"/>
      <c r="AJ28" s="716"/>
      <c r="AV28" s="367" t="str">
        <f>IF(COUNTA(G28)=1,"○","×")</f>
        <v>○</v>
      </c>
      <c r="AW28" s="689" t="str">
        <f>IF(AV28="×","【預金種別】預金種別の番号が未入力です","預金種別の番号が正しく入力されました。")</f>
        <v>預金種別の番号が正しく入力されました。</v>
      </c>
      <c r="AX28" s="690"/>
      <c r="AY28" s="362" t="str">
        <f>IF(AV28="×","預金種別の番号が未入力です。/","")</f>
        <v/>
      </c>
    </row>
    <row r="29" spans="1:52" s="362" customFormat="1" ht="22.5">
      <c r="A29" s="734"/>
      <c r="B29" s="703" t="s">
        <v>790</v>
      </c>
      <c r="C29" s="704"/>
      <c r="D29" s="704"/>
      <c r="E29" s="704"/>
      <c r="F29" s="704"/>
      <c r="G29" s="394" t="str">
        <f>IF(はじめに入力してください!H26="","",はじめに入力してください!H26)</f>
        <v/>
      </c>
      <c r="H29" s="395" t="str">
        <f>IF(はじめに入力してください!I26="","",はじめに入力してください!I26)</f>
        <v/>
      </c>
      <c r="I29" s="395" t="str">
        <f>IF(はじめに入力してください!J26="","",はじめに入力してください!J26)</f>
        <v/>
      </c>
      <c r="J29" s="395" t="str">
        <f>IF(はじめに入力してください!K26="","",はじめに入力してください!K26)</f>
        <v/>
      </c>
      <c r="K29" s="395" t="str">
        <f>IF(はじめに入力してください!L26="","",はじめに入力してください!L26)</f>
        <v/>
      </c>
      <c r="L29" s="395" t="str">
        <f>IF(はじめに入力してください!M26="","",はじめに入力してください!M26)</f>
        <v/>
      </c>
      <c r="M29" s="396" t="str">
        <f>IF(はじめに入力してください!N26="","",はじめに入力してください!N26)</f>
        <v/>
      </c>
      <c r="N29" s="720" t="s">
        <v>791</v>
      </c>
      <c r="O29" s="721"/>
      <c r="P29" s="721"/>
      <c r="Q29" s="721"/>
      <c r="R29" s="721"/>
      <c r="S29" s="721"/>
      <c r="T29" s="721"/>
      <c r="U29" s="721"/>
      <c r="V29" s="721"/>
      <c r="W29" s="721"/>
      <c r="X29" s="721"/>
      <c r="Y29" s="721"/>
      <c r="Z29" s="721"/>
      <c r="AA29" s="721"/>
      <c r="AB29" s="721"/>
      <c r="AC29" s="721"/>
      <c r="AD29" s="721"/>
      <c r="AE29" s="721"/>
      <c r="AF29" s="721"/>
      <c r="AG29" s="721"/>
      <c r="AH29" s="721"/>
      <c r="AI29" s="721"/>
      <c r="AJ29" s="721"/>
      <c r="AV29" s="367" t="str">
        <f>IF(COUNTA(G29:M29)=7,"○","×")</f>
        <v>○</v>
      </c>
      <c r="AW29" s="689" t="str">
        <f>IF(AV29="×","【口座番号】７桁の口座番号が未入力又は正しく入力されていません。","７桁の口座番号が正しく入力されました。")</f>
        <v>７桁の口座番号が正しく入力されました。</v>
      </c>
      <c r="AX29" s="690"/>
      <c r="AY29" s="362" t="str">
        <f>IF(AV29="×","７桁の口座番号が未入力又は正しく入力されていません。/","")</f>
        <v/>
      </c>
    </row>
    <row r="30" spans="1:52" s="362" customFormat="1" ht="24.75" customHeight="1">
      <c r="A30" s="666"/>
      <c r="B30" s="713" t="s">
        <v>792</v>
      </c>
      <c r="C30" s="713"/>
      <c r="D30" s="713"/>
      <c r="E30" s="713"/>
      <c r="F30" s="714"/>
      <c r="G30" s="735" t="str">
        <f>IF(はじめに入力してください!H27="","",はじめに入力してください!H27)</f>
        <v/>
      </c>
      <c r="H30" s="736"/>
      <c r="I30" s="736"/>
      <c r="J30" s="736"/>
      <c r="K30" s="736"/>
      <c r="L30" s="736"/>
      <c r="M30" s="736"/>
      <c r="N30" s="736"/>
      <c r="O30" s="736"/>
      <c r="P30" s="736"/>
      <c r="Q30" s="736"/>
      <c r="R30" s="736"/>
      <c r="S30" s="736"/>
      <c r="T30" s="736"/>
      <c r="U30" s="736"/>
      <c r="V30" s="736"/>
      <c r="W30" s="736"/>
      <c r="X30" s="736"/>
      <c r="Y30" s="736"/>
      <c r="Z30" s="736"/>
      <c r="AA30" s="736"/>
      <c r="AB30" s="736"/>
      <c r="AC30" s="736"/>
      <c r="AD30" s="736"/>
      <c r="AE30" s="736"/>
      <c r="AF30" s="736"/>
      <c r="AG30" s="736"/>
      <c r="AH30" s="736"/>
      <c r="AI30" s="736"/>
      <c r="AJ30" s="736"/>
      <c r="AV30" s="367" t="str">
        <f>IF(COUNTA(G30:AJ30)&gt;=1,"○","×")</f>
        <v>○</v>
      </c>
      <c r="AW30" s="689" t="str">
        <f>IF(AV30="×","【口座名義（ｶﾅ）】口座のｶﾅ名義が未入力です。","口座のｶﾅ名義がが正しく入力されました。")</f>
        <v>口座のｶﾅ名義がが正しく入力されました。</v>
      </c>
      <c r="AX30" s="690"/>
      <c r="AY30" s="362" t="str">
        <f>IF(AV30="×","口座のｶﾅ名義が未入力です。/","")</f>
        <v/>
      </c>
    </row>
    <row r="31" spans="1:52" s="362" customFormat="1" ht="24.75" hidden="1" customHeight="1">
      <c r="A31" s="372"/>
      <c r="B31" s="713" t="s">
        <v>793</v>
      </c>
      <c r="C31" s="713"/>
      <c r="D31" s="713"/>
      <c r="E31" s="713"/>
      <c r="F31" s="714"/>
      <c r="G31" s="743"/>
      <c r="H31" s="744"/>
      <c r="I31" s="744"/>
      <c r="J31" s="744"/>
      <c r="K31" s="744"/>
      <c r="L31" s="744"/>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4"/>
      <c r="AJ31" s="744"/>
      <c r="AV31" s="367" t="str">
        <f>IF(COUNTA(G31:AJ31)&gt;=1,"○","×")</f>
        <v>×</v>
      </c>
      <c r="AW31" s="689" t="str">
        <f>IF(AV31="×","【口座名義】口座の名義が未入力です。","口座の名義がが正しく入力されました。")</f>
        <v>【口座名義】口座の名義が未入力です。</v>
      </c>
      <c r="AX31" s="690"/>
      <c r="AY31" s="362" t="str">
        <f>IF(AV31="×","口座の名義が未入力です。/","")</f>
        <v>口座の名義が未入力です。/</v>
      </c>
    </row>
    <row r="32" spans="1:52" s="362" customFormat="1" ht="22.5">
      <c r="A32" s="722"/>
      <c r="B32" s="723"/>
      <c r="C32" s="723"/>
      <c r="D32" s="723"/>
      <c r="E32" s="723"/>
      <c r="F32" s="723"/>
      <c r="G32" s="723"/>
      <c r="H32" s="723"/>
      <c r="I32" s="723"/>
      <c r="J32" s="723"/>
      <c r="K32" s="723"/>
      <c r="L32" s="723"/>
      <c r="M32" s="723"/>
      <c r="N32" s="723"/>
      <c r="O32" s="723"/>
      <c r="P32" s="723"/>
      <c r="Q32" s="723"/>
      <c r="R32" s="723"/>
      <c r="S32" s="723"/>
      <c r="T32" s="723"/>
      <c r="U32" s="723"/>
      <c r="V32" s="723"/>
      <c r="W32" s="723"/>
      <c r="X32" s="723"/>
      <c r="Y32" s="723"/>
      <c r="Z32" s="723"/>
      <c r="AA32" s="723"/>
      <c r="AB32" s="723"/>
      <c r="AC32" s="723"/>
      <c r="AD32" s="723"/>
      <c r="AE32" s="723"/>
      <c r="AF32" s="723"/>
      <c r="AG32" s="723"/>
      <c r="AH32" s="723"/>
      <c r="AI32" s="723"/>
      <c r="AJ32" s="723"/>
      <c r="AV32" s="363"/>
      <c r="AW32" s="364"/>
      <c r="AY32" s="370" t="str">
        <f>AY23&amp;AY24&amp;AY25&amp;AY26&amp;AY28&amp;AY29&amp;AY30&amp;AY31</f>
        <v>口座の名義が未入力です。/</v>
      </c>
      <c r="AZ32" s="362" t="s">
        <v>794</v>
      </c>
    </row>
    <row r="33" spans="2:49" s="362" customFormat="1" ht="23" thickBot="1">
      <c r="C33" s="371"/>
      <c r="AV33" s="363"/>
      <c r="AW33" s="364"/>
    </row>
    <row r="34" spans="2:49" s="362" customFormat="1" ht="20">
      <c r="B34" s="724" t="s">
        <v>795</v>
      </c>
      <c r="C34" s="725"/>
      <c r="D34" s="725"/>
      <c r="E34" s="725"/>
      <c r="F34" s="725"/>
      <c r="G34" s="725"/>
      <c r="H34" s="725"/>
      <c r="I34" s="725"/>
      <c r="J34" s="725"/>
      <c r="K34" s="725"/>
      <c r="L34" s="725"/>
      <c r="M34" s="725"/>
      <c r="N34" s="725"/>
      <c r="O34" s="725"/>
      <c r="P34" s="725"/>
      <c r="Q34" s="725"/>
      <c r="R34" s="725"/>
      <c r="S34" s="725"/>
      <c r="T34" s="725"/>
      <c r="U34" s="725"/>
      <c r="V34" s="725"/>
      <c r="W34" s="725"/>
      <c r="X34" s="725"/>
      <c r="Y34" s="725"/>
      <c r="Z34" s="725"/>
      <c r="AA34" s="725"/>
      <c r="AB34" s="725"/>
      <c r="AC34" s="725"/>
      <c r="AD34" s="725"/>
      <c r="AE34" s="725"/>
      <c r="AF34" s="725"/>
      <c r="AG34" s="725"/>
      <c r="AH34" s="725"/>
      <c r="AI34" s="726"/>
      <c r="AV34" s="363"/>
      <c r="AW34" s="364"/>
    </row>
    <row r="35" spans="2:49" s="362" customFormat="1" ht="20">
      <c r="B35" s="727"/>
      <c r="C35" s="728"/>
      <c r="D35" s="728"/>
      <c r="E35" s="728"/>
      <c r="F35" s="728"/>
      <c r="G35" s="728"/>
      <c r="H35" s="728"/>
      <c r="I35" s="728"/>
      <c r="J35" s="728"/>
      <c r="K35" s="728"/>
      <c r="L35" s="728"/>
      <c r="M35" s="728"/>
      <c r="N35" s="728"/>
      <c r="O35" s="728"/>
      <c r="P35" s="728"/>
      <c r="Q35" s="728"/>
      <c r="R35" s="728"/>
      <c r="S35" s="728"/>
      <c r="T35" s="728"/>
      <c r="U35" s="728"/>
      <c r="V35" s="728"/>
      <c r="W35" s="728"/>
      <c r="X35" s="728"/>
      <c r="Y35" s="728"/>
      <c r="Z35" s="728"/>
      <c r="AA35" s="728"/>
      <c r="AB35" s="728"/>
      <c r="AC35" s="728"/>
      <c r="AD35" s="728"/>
      <c r="AE35" s="728"/>
      <c r="AF35" s="728"/>
      <c r="AG35" s="728"/>
      <c r="AH35" s="728"/>
      <c r="AI35" s="729"/>
      <c r="AV35" s="363"/>
      <c r="AW35" s="364"/>
    </row>
    <row r="36" spans="2:49" s="362" customFormat="1" ht="20">
      <c r="B36" s="727"/>
      <c r="C36" s="728"/>
      <c r="D36" s="728"/>
      <c r="E36" s="728"/>
      <c r="F36" s="728"/>
      <c r="G36" s="728"/>
      <c r="H36" s="728"/>
      <c r="I36" s="728"/>
      <c r="J36" s="728"/>
      <c r="K36" s="728"/>
      <c r="L36" s="728"/>
      <c r="M36" s="728"/>
      <c r="N36" s="728"/>
      <c r="O36" s="728"/>
      <c r="P36" s="728"/>
      <c r="Q36" s="728"/>
      <c r="R36" s="728"/>
      <c r="S36" s="728"/>
      <c r="T36" s="728"/>
      <c r="U36" s="728"/>
      <c r="V36" s="728"/>
      <c r="W36" s="728"/>
      <c r="X36" s="728"/>
      <c r="Y36" s="728"/>
      <c r="Z36" s="728"/>
      <c r="AA36" s="728"/>
      <c r="AB36" s="728"/>
      <c r="AC36" s="728"/>
      <c r="AD36" s="728"/>
      <c r="AE36" s="728"/>
      <c r="AF36" s="728"/>
      <c r="AG36" s="728"/>
      <c r="AH36" s="728"/>
      <c r="AI36" s="729"/>
      <c r="AV36" s="363"/>
      <c r="AW36" s="364"/>
    </row>
    <row r="37" spans="2:49" s="362" customFormat="1" ht="20">
      <c r="B37" s="727"/>
      <c r="C37" s="728"/>
      <c r="D37" s="728"/>
      <c r="E37" s="728"/>
      <c r="F37" s="728"/>
      <c r="G37" s="728"/>
      <c r="H37" s="728"/>
      <c r="I37" s="728"/>
      <c r="J37" s="728"/>
      <c r="K37" s="728"/>
      <c r="L37" s="728"/>
      <c r="M37" s="728"/>
      <c r="N37" s="728"/>
      <c r="O37" s="728"/>
      <c r="P37" s="728"/>
      <c r="Q37" s="728"/>
      <c r="R37" s="728"/>
      <c r="S37" s="728"/>
      <c r="T37" s="728"/>
      <c r="U37" s="728"/>
      <c r="V37" s="728"/>
      <c r="W37" s="728"/>
      <c r="X37" s="728"/>
      <c r="Y37" s="728"/>
      <c r="Z37" s="728"/>
      <c r="AA37" s="728"/>
      <c r="AB37" s="728"/>
      <c r="AC37" s="728"/>
      <c r="AD37" s="728"/>
      <c r="AE37" s="728"/>
      <c r="AF37" s="728"/>
      <c r="AG37" s="728"/>
      <c r="AH37" s="728"/>
      <c r="AI37" s="729"/>
      <c r="AV37" s="363"/>
      <c r="AW37" s="364"/>
    </row>
    <row r="38" spans="2:49" s="362" customFormat="1" ht="20">
      <c r="B38" s="727"/>
      <c r="C38" s="728"/>
      <c r="D38" s="728"/>
      <c r="E38" s="728"/>
      <c r="F38" s="728"/>
      <c r="G38" s="728"/>
      <c r="H38" s="728"/>
      <c r="I38" s="728"/>
      <c r="J38" s="728"/>
      <c r="K38" s="728"/>
      <c r="L38" s="728"/>
      <c r="M38" s="728"/>
      <c r="N38" s="728"/>
      <c r="O38" s="728"/>
      <c r="P38" s="728"/>
      <c r="Q38" s="728"/>
      <c r="R38" s="728"/>
      <c r="S38" s="728"/>
      <c r="T38" s="728"/>
      <c r="U38" s="728"/>
      <c r="V38" s="728"/>
      <c r="W38" s="728"/>
      <c r="X38" s="728"/>
      <c r="Y38" s="728"/>
      <c r="Z38" s="728"/>
      <c r="AA38" s="728"/>
      <c r="AB38" s="728"/>
      <c r="AC38" s="728"/>
      <c r="AD38" s="728"/>
      <c r="AE38" s="728"/>
      <c r="AF38" s="728"/>
      <c r="AG38" s="728"/>
      <c r="AH38" s="728"/>
      <c r="AI38" s="729"/>
      <c r="AV38" s="363"/>
      <c r="AW38" s="364"/>
    </row>
    <row r="39" spans="2:49" s="362" customFormat="1" ht="20">
      <c r="B39" s="727"/>
      <c r="C39" s="728"/>
      <c r="D39" s="728"/>
      <c r="E39" s="728"/>
      <c r="F39" s="728"/>
      <c r="G39" s="728"/>
      <c r="H39" s="728"/>
      <c r="I39" s="728"/>
      <c r="J39" s="728"/>
      <c r="K39" s="728"/>
      <c r="L39" s="728"/>
      <c r="M39" s="728"/>
      <c r="N39" s="728"/>
      <c r="O39" s="728"/>
      <c r="P39" s="728"/>
      <c r="Q39" s="728"/>
      <c r="R39" s="728"/>
      <c r="S39" s="728"/>
      <c r="T39" s="728"/>
      <c r="U39" s="728"/>
      <c r="V39" s="728"/>
      <c r="W39" s="728"/>
      <c r="X39" s="728"/>
      <c r="Y39" s="728"/>
      <c r="Z39" s="728"/>
      <c r="AA39" s="728"/>
      <c r="AB39" s="728"/>
      <c r="AC39" s="728"/>
      <c r="AD39" s="728"/>
      <c r="AE39" s="728"/>
      <c r="AF39" s="728"/>
      <c r="AG39" s="728"/>
      <c r="AH39" s="728"/>
      <c r="AI39" s="729"/>
      <c r="AV39" s="363"/>
      <c r="AW39" s="364"/>
    </row>
    <row r="40" spans="2:49" s="362" customFormat="1" ht="20">
      <c r="B40" s="727"/>
      <c r="C40" s="728"/>
      <c r="D40" s="728"/>
      <c r="E40" s="728"/>
      <c r="F40" s="728"/>
      <c r="G40" s="728"/>
      <c r="H40" s="728"/>
      <c r="I40" s="728"/>
      <c r="J40" s="728"/>
      <c r="K40" s="728"/>
      <c r="L40" s="728"/>
      <c r="M40" s="728"/>
      <c r="N40" s="728"/>
      <c r="O40" s="728"/>
      <c r="P40" s="728"/>
      <c r="Q40" s="728"/>
      <c r="R40" s="728"/>
      <c r="S40" s="728"/>
      <c r="T40" s="728"/>
      <c r="U40" s="728"/>
      <c r="V40" s="728"/>
      <c r="W40" s="728"/>
      <c r="X40" s="728"/>
      <c r="Y40" s="728"/>
      <c r="Z40" s="728"/>
      <c r="AA40" s="728"/>
      <c r="AB40" s="728"/>
      <c r="AC40" s="728"/>
      <c r="AD40" s="728"/>
      <c r="AE40" s="728"/>
      <c r="AF40" s="728"/>
      <c r="AG40" s="728"/>
      <c r="AH40" s="728"/>
      <c r="AI40" s="729"/>
      <c r="AV40" s="363"/>
      <c r="AW40" s="364"/>
    </row>
    <row r="41" spans="2:49" s="362" customFormat="1" ht="20">
      <c r="B41" s="727"/>
      <c r="C41" s="728"/>
      <c r="D41" s="728"/>
      <c r="E41" s="728"/>
      <c r="F41" s="728"/>
      <c r="G41" s="728"/>
      <c r="H41" s="728"/>
      <c r="I41" s="728"/>
      <c r="J41" s="728"/>
      <c r="K41" s="728"/>
      <c r="L41" s="728"/>
      <c r="M41" s="728"/>
      <c r="N41" s="728"/>
      <c r="O41" s="728"/>
      <c r="P41" s="728"/>
      <c r="Q41" s="728"/>
      <c r="R41" s="728"/>
      <c r="S41" s="728"/>
      <c r="T41" s="728"/>
      <c r="U41" s="728"/>
      <c r="V41" s="728"/>
      <c r="W41" s="728"/>
      <c r="X41" s="728"/>
      <c r="Y41" s="728"/>
      <c r="Z41" s="728"/>
      <c r="AA41" s="728"/>
      <c r="AB41" s="728"/>
      <c r="AC41" s="728"/>
      <c r="AD41" s="728"/>
      <c r="AE41" s="728"/>
      <c r="AF41" s="728"/>
      <c r="AG41" s="728"/>
      <c r="AH41" s="728"/>
      <c r="AI41" s="729"/>
      <c r="AV41" s="363"/>
      <c r="AW41" s="364"/>
    </row>
    <row r="42" spans="2:49" s="362" customFormat="1" ht="20">
      <c r="B42" s="727"/>
      <c r="C42" s="728"/>
      <c r="D42" s="728"/>
      <c r="E42" s="728"/>
      <c r="F42" s="728"/>
      <c r="G42" s="728"/>
      <c r="H42" s="728"/>
      <c r="I42" s="728"/>
      <c r="J42" s="728"/>
      <c r="K42" s="728"/>
      <c r="L42" s="728"/>
      <c r="M42" s="728"/>
      <c r="N42" s="728"/>
      <c r="O42" s="728"/>
      <c r="P42" s="728"/>
      <c r="Q42" s="728"/>
      <c r="R42" s="728"/>
      <c r="S42" s="728"/>
      <c r="T42" s="728"/>
      <c r="U42" s="728"/>
      <c r="V42" s="728"/>
      <c r="W42" s="728"/>
      <c r="X42" s="728"/>
      <c r="Y42" s="728"/>
      <c r="Z42" s="728"/>
      <c r="AA42" s="728"/>
      <c r="AB42" s="728"/>
      <c r="AC42" s="728"/>
      <c r="AD42" s="728"/>
      <c r="AE42" s="728"/>
      <c r="AF42" s="728"/>
      <c r="AG42" s="728"/>
      <c r="AH42" s="728"/>
      <c r="AI42" s="729"/>
      <c r="AV42" s="363"/>
      <c r="AW42" s="364"/>
    </row>
    <row r="43" spans="2:49" s="362" customFormat="1" ht="20">
      <c r="B43" s="727"/>
      <c r="C43" s="728"/>
      <c r="D43" s="728"/>
      <c r="E43" s="728"/>
      <c r="F43" s="728"/>
      <c r="G43" s="728"/>
      <c r="H43" s="728"/>
      <c r="I43" s="728"/>
      <c r="J43" s="728"/>
      <c r="K43" s="728"/>
      <c r="L43" s="728"/>
      <c r="M43" s="728"/>
      <c r="N43" s="728"/>
      <c r="O43" s="728"/>
      <c r="P43" s="728"/>
      <c r="Q43" s="728"/>
      <c r="R43" s="728"/>
      <c r="S43" s="728"/>
      <c r="T43" s="728"/>
      <c r="U43" s="728"/>
      <c r="V43" s="728"/>
      <c r="W43" s="728"/>
      <c r="X43" s="728"/>
      <c r="Y43" s="728"/>
      <c r="Z43" s="728"/>
      <c r="AA43" s="728"/>
      <c r="AB43" s="728"/>
      <c r="AC43" s="728"/>
      <c r="AD43" s="728"/>
      <c r="AE43" s="728"/>
      <c r="AF43" s="728"/>
      <c r="AG43" s="728"/>
      <c r="AH43" s="728"/>
      <c r="AI43" s="729"/>
      <c r="AV43" s="363"/>
      <c r="AW43" s="364"/>
    </row>
    <row r="44" spans="2:49" s="362" customFormat="1" ht="20">
      <c r="B44" s="727"/>
      <c r="C44" s="728"/>
      <c r="D44" s="728"/>
      <c r="E44" s="728"/>
      <c r="F44" s="728"/>
      <c r="G44" s="728"/>
      <c r="H44" s="728"/>
      <c r="I44" s="728"/>
      <c r="J44" s="728"/>
      <c r="K44" s="728"/>
      <c r="L44" s="728"/>
      <c r="M44" s="728"/>
      <c r="N44" s="728"/>
      <c r="O44" s="728"/>
      <c r="P44" s="728"/>
      <c r="Q44" s="728"/>
      <c r="R44" s="728"/>
      <c r="S44" s="728"/>
      <c r="T44" s="728"/>
      <c r="U44" s="728"/>
      <c r="V44" s="728"/>
      <c r="W44" s="728"/>
      <c r="X44" s="728"/>
      <c r="Y44" s="728"/>
      <c r="Z44" s="728"/>
      <c r="AA44" s="728"/>
      <c r="AB44" s="728"/>
      <c r="AC44" s="728"/>
      <c r="AD44" s="728"/>
      <c r="AE44" s="728"/>
      <c r="AF44" s="728"/>
      <c r="AG44" s="728"/>
      <c r="AH44" s="728"/>
      <c r="AI44" s="729"/>
      <c r="AV44" s="363"/>
      <c r="AW44" s="364"/>
    </row>
    <row r="45" spans="2:49" s="362" customFormat="1" ht="20">
      <c r="B45" s="727"/>
      <c r="C45" s="728"/>
      <c r="D45" s="728"/>
      <c r="E45" s="728"/>
      <c r="F45" s="728"/>
      <c r="G45" s="728"/>
      <c r="H45" s="728"/>
      <c r="I45" s="728"/>
      <c r="J45" s="728"/>
      <c r="K45" s="728"/>
      <c r="L45" s="728"/>
      <c r="M45" s="728"/>
      <c r="N45" s="728"/>
      <c r="O45" s="728"/>
      <c r="P45" s="728"/>
      <c r="Q45" s="728"/>
      <c r="R45" s="728"/>
      <c r="S45" s="728"/>
      <c r="T45" s="728"/>
      <c r="U45" s="728"/>
      <c r="V45" s="728"/>
      <c r="W45" s="728"/>
      <c r="X45" s="728"/>
      <c r="Y45" s="728"/>
      <c r="Z45" s="728"/>
      <c r="AA45" s="728"/>
      <c r="AB45" s="728"/>
      <c r="AC45" s="728"/>
      <c r="AD45" s="728"/>
      <c r="AE45" s="728"/>
      <c r="AF45" s="728"/>
      <c r="AG45" s="728"/>
      <c r="AH45" s="728"/>
      <c r="AI45" s="729"/>
      <c r="AV45" s="363"/>
      <c r="AW45" s="364"/>
    </row>
    <row r="46" spans="2:49" s="362" customFormat="1" ht="20">
      <c r="B46" s="727"/>
      <c r="C46" s="728"/>
      <c r="D46" s="728"/>
      <c r="E46" s="728"/>
      <c r="F46" s="728"/>
      <c r="G46" s="728"/>
      <c r="H46" s="728"/>
      <c r="I46" s="728"/>
      <c r="J46" s="728"/>
      <c r="K46" s="728"/>
      <c r="L46" s="728"/>
      <c r="M46" s="728"/>
      <c r="N46" s="728"/>
      <c r="O46" s="728"/>
      <c r="P46" s="728"/>
      <c r="Q46" s="728"/>
      <c r="R46" s="728"/>
      <c r="S46" s="728"/>
      <c r="T46" s="728"/>
      <c r="U46" s="728"/>
      <c r="V46" s="728"/>
      <c r="W46" s="728"/>
      <c r="X46" s="728"/>
      <c r="Y46" s="728"/>
      <c r="Z46" s="728"/>
      <c r="AA46" s="728"/>
      <c r="AB46" s="728"/>
      <c r="AC46" s="728"/>
      <c r="AD46" s="728"/>
      <c r="AE46" s="728"/>
      <c r="AF46" s="728"/>
      <c r="AG46" s="728"/>
      <c r="AH46" s="728"/>
      <c r="AI46" s="729"/>
      <c r="AV46" s="363"/>
      <c r="AW46" s="364"/>
    </row>
    <row r="47" spans="2:49" s="362" customFormat="1" ht="20">
      <c r="B47" s="727"/>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9"/>
      <c r="AV47" s="363"/>
      <c r="AW47" s="364"/>
    </row>
    <row r="48" spans="2:49" s="362" customFormat="1" ht="20">
      <c r="B48" s="727"/>
      <c r="C48" s="728"/>
      <c r="D48" s="728"/>
      <c r="E48" s="728"/>
      <c r="F48" s="728"/>
      <c r="G48" s="728"/>
      <c r="H48" s="728"/>
      <c r="I48" s="728"/>
      <c r="J48" s="728"/>
      <c r="K48" s="728"/>
      <c r="L48" s="728"/>
      <c r="M48" s="728"/>
      <c r="N48" s="728"/>
      <c r="O48" s="728"/>
      <c r="P48" s="728"/>
      <c r="Q48" s="728"/>
      <c r="R48" s="728"/>
      <c r="S48" s="728"/>
      <c r="T48" s="728"/>
      <c r="U48" s="728"/>
      <c r="V48" s="728"/>
      <c r="W48" s="728"/>
      <c r="X48" s="728"/>
      <c r="Y48" s="728"/>
      <c r="Z48" s="728"/>
      <c r="AA48" s="728"/>
      <c r="AB48" s="728"/>
      <c r="AC48" s="728"/>
      <c r="AD48" s="728"/>
      <c r="AE48" s="728"/>
      <c r="AF48" s="728"/>
      <c r="AG48" s="728"/>
      <c r="AH48" s="728"/>
      <c r="AI48" s="729"/>
      <c r="AV48" s="363"/>
      <c r="AW48" s="364"/>
    </row>
    <row r="49" spans="2:49" s="362" customFormat="1" ht="20">
      <c r="B49" s="727"/>
      <c r="C49" s="728"/>
      <c r="D49" s="728"/>
      <c r="E49" s="728"/>
      <c r="F49" s="728"/>
      <c r="G49" s="728"/>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8"/>
      <c r="AI49" s="729"/>
      <c r="AV49" s="363"/>
      <c r="AW49" s="364"/>
    </row>
    <row r="50" spans="2:49" s="362" customFormat="1" ht="20">
      <c r="B50" s="727"/>
      <c r="C50" s="728"/>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c r="AD50" s="728"/>
      <c r="AE50" s="728"/>
      <c r="AF50" s="728"/>
      <c r="AG50" s="728"/>
      <c r="AH50" s="728"/>
      <c r="AI50" s="729"/>
      <c r="AV50" s="363"/>
      <c r="AW50" s="364"/>
    </row>
    <row r="51" spans="2:49" s="362" customFormat="1" ht="20">
      <c r="B51" s="727"/>
      <c r="C51" s="728"/>
      <c r="D51" s="728"/>
      <c r="E51" s="728"/>
      <c r="F51" s="728"/>
      <c r="G51" s="728"/>
      <c r="H51" s="728"/>
      <c r="I51" s="728"/>
      <c r="J51" s="728"/>
      <c r="K51" s="728"/>
      <c r="L51" s="728"/>
      <c r="M51" s="728"/>
      <c r="N51" s="728"/>
      <c r="O51" s="728"/>
      <c r="P51" s="728"/>
      <c r="Q51" s="728"/>
      <c r="R51" s="728"/>
      <c r="S51" s="728"/>
      <c r="T51" s="728"/>
      <c r="U51" s="728"/>
      <c r="V51" s="728"/>
      <c r="W51" s="728"/>
      <c r="X51" s="728"/>
      <c r="Y51" s="728"/>
      <c r="Z51" s="728"/>
      <c r="AA51" s="728"/>
      <c r="AB51" s="728"/>
      <c r="AC51" s="728"/>
      <c r="AD51" s="728"/>
      <c r="AE51" s="728"/>
      <c r="AF51" s="728"/>
      <c r="AG51" s="728"/>
      <c r="AH51" s="728"/>
      <c r="AI51" s="729"/>
      <c r="AV51" s="363"/>
      <c r="AW51" s="364"/>
    </row>
    <row r="52" spans="2:49" s="362" customFormat="1" ht="20">
      <c r="B52" s="727"/>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9"/>
      <c r="AV52" s="363"/>
      <c r="AW52" s="364"/>
    </row>
    <row r="53" spans="2:49" s="362" customFormat="1" ht="20">
      <c r="B53" s="727"/>
      <c r="C53" s="728"/>
      <c r="D53" s="728"/>
      <c r="E53" s="728"/>
      <c r="F53" s="728"/>
      <c r="G53" s="728"/>
      <c r="H53" s="728"/>
      <c r="I53" s="728"/>
      <c r="J53" s="728"/>
      <c r="K53" s="728"/>
      <c r="L53" s="728"/>
      <c r="M53" s="728"/>
      <c r="N53" s="728"/>
      <c r="O53" s="728"/>
      <c r="P53" s="728"/>
      <c r="Q53" s="728"/>
      <c r="R53" s="728"/>
      <c r="S53" s="728"/>
      <c r="T53" s="728"/>
      <c r="U53" s="728"/>
      <c r="V53" s="728"/>
      <c r="W53" s="728"/>
      <c r="X53" s="728"/>
      <c r="Y53" s="728"/>
      <c r="Z53" s="728"/>
      <c r="AA53" s="728"/>
      <c r="AB53" s="728"/>
      <c r="AC53" s="728"/>
      <c r="AD53" s="728"/>
      <c r="AE53" s="728"/>
      <c r="AF53" s="728"/>
      <c r="AG53" s="728"/>
      <c r="AH53" s="728"/>
      <c r="AI53" s="729"/>
      <c r="AV53" s="363"/>
      <c r="AW53" s="364"/>
    </row>
    <row r="54" spans="2:49" s="362" customFormat="1" ht="20">
      <c r="B54" s="727"/>
      <c r="C54" s="728"/>
      <c r="D54" s="728"/>
      <c r="E54" s="728"/>
      <c r="F54" s="728"/>
      <c r="G54" s="728"/>
      <c r="H54" s="728"/>
      <c r="I54" s="728"/>
      <c r="J54" s="728"/>
      <c r="K54" s="728"/>
      <c r="L54" s="728"/>
      <c r="M54" s="728"/>
      <c r="N54" s="728"/>
      <c r="O54" s="728"/>
      <c r="P54" s="728"/>
      <c r="Q54" s="728"/>
      <c r="R54" s="728"/>
      <c r="S54" s="728"/>
      <c r="T54" s="728"/>
      <c r="U54" s="728"/>
      <c r="V54" s="728"/>
      <c r="W54" s="728"/>
      <c r="X54" s="728"/>
      <c r="Y54" s="728"/>
      <c r="Z54" s="728"/>
      <c r="AA54" s="728"/>
      <c r="AB54" s="728"/>
      <c r="AC54" s="728"/>
      <c r="AD54" s="728"/>
      <c r="AE54" s="728"/>
      <c r="AF54" s="728"/>
      <c r="AG54" s="728"/>
      <c r="AH54" s="728"/>
      <c r="AI54" s="729"/>
      <c r="AV54" s="363"/>
      <c r="AW54" s="364"/>
    </row>
    <row r="55" spans="2:49" s="362" customFormat="1" ht="20">
      <c r="B55" s="727"/>
      <c r="C55" s="728"/>
      <c r="D55" s="728"/>
      <c r="E55" s="728"/>
      <c r="F55" s="728"/>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28"/>
      <c r="AE55" s="728"/>
      <c r="AF55" s="728"/>
      <c r="AG55" s="728"/>
      <c r="AH55" s="728"/>
      <c r="AI55" s="729"/>
      <c r="AV55" s="363"/>
      <c r="AW55" s="364"/>
    </row>
    <row r="56" spans="2:49" s="362" customFormat="1" ht="20.5" thickBot="1">
      <c r="B56" s="730"/>
      <c r="C56" s="731"/>
      <c r="D56" s="731"/>
      <c r="E56" s="731"/>
      <c r="F56" s="731"/>
      <c r="G56" s="731"/>
      <c r="H56" s="731"/>
      <c r="I56" s="731"/>
      <c r="J56" s="731"/>
      <c r="K56" s="731"/>
      <c r="L56" s="731"/>
      <c r="M56" s="731"/>
      <c r="N56" s="731"/>
      <c r="O56" s="731"/>
      <c r="P56" s="731"/>
      <c r="Q56" s="731"/>
      <c r="R56" s="731"/>
      <c r="S56" s="731"/>
      <c r="T56" s="731"/>
      <c r="U56" s="731"/>
      <c r="V56" s="731"/>
      <c r="W56" s="731"/>
      <c r="X56" s="731"/>
      <c r="Y56" s="731"/>
      <c r="Z56" s="731"/>
      <c r="AA56" s="731"/>
      <c r="AB56" s="731"/>
      <c r="AC56" s="731"/>
      <c r="AD56" s="731"/>
      <c r="AE56" s="731"/>
      <c r="AF56" s="731"/>
      <c r="AG56" s="731"/>
      <c r="AH56" s="731"/>
      <c r="AI56" s="732"/>
      <c r="AV56" s="363"/>
      <c r="AW56" s="364"/>
    </row>
  </sheetData>
  <sheetProtection algorithmName="SHA-512" hashValue="VOGKTchK99TBzwNWMyvIkncGAHKxgtB1EtRsXEXK/rrixp3r33XnlqsuxRv/WYa4z5Q+zvaOCBpohzK8/jcQVw==" saltValue="m+QgUTh2PyUtHWiv+RptKQ==" spinCount="100000" sheet="1" objects="1" scenarios="1"/>
  <mergeCells count="47">
    <mergeCell ref="A32:AJ32"/>
    <mergeCell ref="B34:AI56"/>
    <mergeCell ref="A23:A30"/>
    <mergeCell ref="B30:F30"/>
    <mergeCell ref="G30:AJ30"/>
    <mergeCell ref="G25:M25"/>
    <mergeCell ref="N25:AJ25"/>
    <mergeCell ref="B24:F24"/>
    <mergeCell ref="K24:AJ24"/>
    <mergeCell ref="B31:F31"/>
    <mergeCell ref="G31:AJ31"/>
    <mergeCell ref="B26:F26"/>
    <mergeCell ref="G26:M26"/>
    <mergeCell ref="N26:AJ26"/>
    <mergeCell ref="AW31:AX31"/>
    <mergeCell ref="B27:AJ27"/>
    <mergeCell ref="B28:F28"/>
    <mergeCell ref="G28:H28"/>
    <mergeCell ref="I28:AJ28"/>
    <mergeCell ref="AW28:AX28"/>
    <mergeCell ref="B29:F29"/>
    <mergeCell ref="N29:AJ29"/>
    <mergeCell ref="AW29:AX29"/>
    <mergeCell ref="AW26:AX26"/>
    <mergeCell ref="AW30:AX30"/>
    <mergeCell ref="AW24:AX24"/>
    <mergeCell ref="B25:F25"/>
    <mergeCell ref="N13:R18"/>
    <mergeCell ref="S13:V14"/>
    <mergeCell ref="W13:AJ14"/>
    <mergeCell ref="S15:V16"/>
    <mergeCell ref="W15:AJ16"/>
    <mergeCell ref="S17:V18"/>
    <mergeCell ref="W17:AJ18"/>
    <mergeCell ref="A20:AJ20"/>
    <mergeCell ref="AW22:AX22"/>
    <mergeCell ref="B23:F23"/>
    <mergeCell ref="K23:AJ23"/>
    <mergeCell ref="AW23:AX23"/>
    <mergeCell ref="AW25:AX25"/>
    <mergeCell ref="N11:R12"/>
    <mergeCell ref="S11:AJ12"/>
    <mergeCell ref="A3:AJ5"/>
    <mergeCell ref="N7:R8"/>
    <mergeCell ref="S7:AJ8"/>
    <mergeCell ref="N9:R10"/>
    <mergeCell ref="S9:AJ10"/>
  </mergeCells>
  <phoneticPr fontId="5"/>
  <conditionalFormatting sqref="AV22:AV31">
    <cfRule type="containsText" dxfId="92" priority="6" operator="containsText" text="×">
      <formula>NOT(ISERROR(SEARCH("×",AV22)))</formula>
    </cfRule>
  </conditionalFormatting>
  <conditionalFormatting sqref="AW23:AX31">
    <cfRule type="containsText" dxfId="91" priority="5" operator="containsText" text="未入力">
      <formula>NOT(ISERROR(SEARCH("未入力",AW23)))</formula>
    </cfRule>
  </conditionalFormatting>
  <conditionalFormatting sqref="AW22:AX22">
    <cfRule type="containsText" dxfId="90" priority="3" operator="containsText" text="不十分">
      <formula>NOT(ISERROR(SEARCH("不十分",AW22)))</formula>
    </cfRule>
    <cfRule type="containsText" dxfId="89" priority="4" operator="containsText" text="藤生bん">
      <formula>NOT(ISERROR(SEARCH("藤生bん",AW22)))</formula>
    </cfRule>
  </conditionalFormatting>
  <conditionalFormatting sqref="AK22">
    <cfRule type="containsText" dxfId="88" priority="1" operator="containsText" text="不十分">
      <formula>NOT(ISERROR(SEARCH("不十分",AK22)))</formula>
    </cfRule>
    <cfRule type="containsText" dxfId="87" priority="2" operator="containsText" text="藤生bん">
      <formula>NOT(ISERROR(SEARCH("藤生bん",AK22)))</formula>
    </cfRule>
  </conditionalFormatting>
  <dataValidations count="5">
    <dataValidation type="textLength" imeMode="halfKatakana" allowBlank="1" showInputMessage="1" showErrorMessage="1" errorTitle="入力された文字列が長すぎます。" error="入力文字数は30字以内としてください。" prompt="左詰めで半角カタカナ30字以内で入力してください。" sqref="G31" xr:uid="{00000000-0002-0000-0800-000000000000}">
      <formula1>1</formula1>
      <formula2>30</formula2>
    </dataValidation>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25" xr:uid="{00000000-0002-0000-0800-000001000000}"/>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9:M29" xr:uid="{00000000-0002-0000-0800-000002000000}">
      <formula1>AND(LENB(G29:M29)=LEN(G29:M29))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4:I24" xr:uid="{00000000-0002-0000-0800-000003000000}">
      <formula1>AND(LENB(G24:I24)=LEN(G24:I24))</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3:J23" xr:uid="{00000000-0002-0000-0800-000004000000}">
      <formula1>AND(LENB(D23:G23)=LEN(D23:G23))</formula1>
    </dataValidation>
  </dataValidation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26</vt:i4>
      </vt:variant>
    </vt:vector>
  </HeadingPairs>
  <TitlesOfParts>
    <vt:vector size="55" baseType="lpstr">
      <vt:lpstr>テーブル</vt:lpstr>
      <vt:lpstr>リスト</vt:lpstr>
      <vt:lpstr>計上</vt:lpstr>
      <vt:lpstr>はじめに入力してください</vt:lpstr>
      <vt:lpstr>協議書</vt:lpstr>
      <vt:lpstr>別紙１</vt:lpstr>
      <vt:lpstr>病床状況</vt:lpstr>
      <vt:lpstr>表紙</vt:lpstr>
      <vt:lpstr>振込先情報</vt:lpstr>
      <vt:lpstr>請求書</vt:lpstr>
      <vt:lpstr>経費書</vt:lpstr>
      <vt:lpstr>額内訳書</vt:lpstr>
      <vt:lpstr>歳入歳出抄本</vt:lpstr>
      <vt:lpstr>明細→</vt:lpstr>
      <vt:lpstr>初度設備</vt:lpstr>
      <vt:lpstr>人工呼吸器</vt:lpstr>
      <vt:lpstr>個人防護具</vt:lpstr>
      <vt:lpstr>簡易陰圧装置</vt:lpstr>
      <vt:lpstr>簡易ベッド</vt:lpstr>
      <vt:lpstr>体外式膜型人工肺</vt:lpstr>
      <vt:lpstr>簡易病室</vt:lpstr>
      <vt:lpstr>紫外線照射装置</vt:lpstr>
      <vt:lpstr>超音波画像診断装置</vt:lpstr>
      <vt:lpstr>血液浄化装置</vt:lpstr>
      <vt:lpstr>気管支鏡</vt:lpstr>
      <vt:lpstr>CT撮影装置</vt:lpstr>
      <vt:lpstr>生体情報モニタ</vt:lpstr>
      <vt:lpstr>分娩監視装置</vt:lpstr>
      <vt:lpstr>新生児モニタ</vt:lpstr>
      <vt:lpstr>CT撮影装置!Print_Area</vt:lpstr>
      <vt:lpstr>はじめに入力してください!Print_Area</vt:lpstr>
      <vt:lpstr>額内訳書!Print_Area</vt:lpstr>
      <vt:lpstr>簡易ベッド!Print_Area</vt:lpstr>
      <vt:lpstr>簡易陰圧装置!Print_Area</vt:lpstr>
      <vt:lpstr>簡易病室!Print_Area</vt:lpstr>
      <vt:lpstr>気管支鏡!Print_Area</vt:lpstr>
      <vt:lpstr>協議書!Print_Area</vt:lpstr>
      <vt:lpstr>経費書!Print_Area</vt:lpstr>
      <vt:lpstr>血液浄化装置!Print_Area</vt:lpstr>
      <vt:lpstr>個人防護具!Print_Area</vt:lpstr>
      <vt:lpstr>歳入歳出抄本!Print_Area</vt:lpstr>
      <vt:lpstr>紫外線照射装置!Print_Area</vt:lpstr>
      <vt:lpstr>初度設備!Print_Area</vt:lpstr>
      <vt:lpstr>振込先情報!Print_Area</vt:lpstr>
      <vt:lpstr>新生児モニタ!Print_Area</vt:lpstr>
      <vt:lpstr>人工呼吸器!Print_Area</vt:lpstr>
      <vt:lpstr>生体情報モニタ!Print_Area</vt:lpstr>
      <vt:lpstr>請求書!Print_Area</vt:lpstr>
      <vt:lpstr>体外式膜型人工肺!Print_Area</vt:lpstr>
      <vt:lpstr>超音波画像診断装置!Print_Area</vt:lpstr>
      <vt:lpstr>表紙!Print_Area</vt:lpstr>
      <vt:lpstr>病床状況!Print_Area</vt:lpstr>
      <vt:lpstr>分娩監視装置!Print_Area</vt:lpstr>
      <vt:lpstr>別紙１!Print_Area</vt:lpstr>
      <vt:lpstr>額内訳書!Print_Titles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2022-10-31T13:43:41Z</dcterms:modified>
</cp:coreProperties>
</file>