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10.2.21.165\共有フォルダ\助成G\R4\02補助金関係\☆19_２次実績報告\03_検査機関\"/>
    </mc:Choice>
  </mc:AlternateContent>
  <xr:revisionPtr revIDLastSave="0" documentId="13_ncr:1_{A628D8D4-651E-41F0-8503-41BD2BCD3984}" xr6:coauthVersionLast="47" xr6:coauthVersionMax="47" xr10:uidLastSave="{00000000-0000-0000-0000-000000000000}"/>
  <workbookProtection workbookAlgorithmName="SHA-512" workbookHashValue="sj63jREfFz27I1Qc1lGo73TS8Sxy4vZ3ia4lreygX2fc7No7u6ooos1Pvjk7o+K7rOHaqgmlt0IqaZqT//ZzZQ==" workbookSaltValue="jKVU6KskRo3T8MLHfXpWDA==" workbookSpinCount="100000" lockStructure="1"/>
  <bookViews>
    <workbookView xWindow="-110" yWindow="-110" windowWidth="19420" windowHeight="10420" firstSheet="1" activeTab="1" xr2:uid="{00000000-000D-0000-FFFF-FFFF00000000}"/>
  </bookViews>
  <sheets>
    <sheet name="転記用" sheetId="18" state="hidden" r:id="rId1"/>
    <sheet name="はじめに入力してください" sheetId="20" r:id="rId2"/>
    <sheet name="振込先情報" sheetId="17" state="hidden" r:id="rId3"/>
    <sheet name="請求書" sheetId="22" r:id="rId4"/>
    <sheet name="表紙" sheetId="3" r:id="rId5"/>
    <sheet name="所要額調書" sheetId="2" r:id="rId6"/>
    <sheet name="実施計画書" sheetId="19" r:id="rId7"/>
    <sheet name="予算書抄本" sheetId="15" r:id="rId8"/>
    <sheet name="リスト" sheetId="21" state="hidden" r:id="rId9"/>
  </sheets>
  <definedNames>
    <definedName name="_xlnm._FilterDatabase" localSheetId="8" hidden="1">リスト!$A$1:$W$1</definedName>
    <definedName name="_xlnm.Print_Area" localSheetId="1">はじめに入力してください!$A$1:$AC$35</definedName>
    <definedName name="_xlnm.Print_Area" localSheetId="8">リスト!$A$1:$AA$345</definedName>
    <definedName name="_xlnm.Print_Area" localSheetId="6">実施計画書!$A$2:$AL$58</definedName>
    <definedName name="_xlnm.Print_Area" localSheetId="5">所要額調書!$A$1:$L$11</definedName>
    <definedName name="_xlnm.Print_Area" localSheetId="2">振込先情報!$A$2:$AJ$57</definedName>
    <definedName name="_xlnm.Print_Area" localSheetId="3">請求書!$A$1:$I$30</definedName>
    <definedName name="_xlnm.Print_Area" localSheetId="4">表紙!$A$2:$S$42</definedName>
    <definedName name="_xlnm.Print_Area" localSheetId="7">予算書抄本!$B$1:$H$44</definedName>
    <definedName name="_xlnm.Print_Titles" localSheetId="8">リスト!$1:$1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5" i="20" l="1"/>
  <c r="AE19" i="20"/>
  <c r="AN53" i="3" s="1"/>
  <c r="BR32" i="19" l="1"/>
  <c r="C20" i="20"/>
  <c r="O20" i="20" s="1"/>
  <c r="AJ20" i="20" s="1"/>
  <c r="P20" i="20"/>
  <c r="O21" i="20"/>
  <c r="B31" i="3" s="1"/>
  <c r="P21" i="20"/>
  <c r="AJ21" i="20"/>
  <c r="B30" i="3"/>
  <c r="M33" i="22"/>
  <c r="AJ14" i="20"/>
  <c r="AH14" i="20"/>
  <c r="AI14" i="20"/>
  <c r="AG14" i="20"/>
  <c r="AI13" i="20"/>
  <c r="AH13" i="20"/>
  <c r="AG13" i="20"/>
  <c r="O13" i="20" l="1"/>
  <c r="P13" i="20"/>
  <c r="I4" i="2"/>
  <c r="C3" i="18"/>
  <c r="G21" i="3"/>
  <c r="N5" i="3"/>
  <c r="C36" i="15" s="1"/>
  <c r="C31" i="20"/>
  <c r="L33" i="22"/>
  <c r="AI15" i="20"/>
  <c r="AH15" i="20"/>
  <c r="P12" i="20" s="1"/>
  <c r="AF8" i="20"/>
  <c r="O31" i="20" l="1"/>
  <c r="P31" i="20" s="1"/>
  <c r="I31" i="20"/>
  <c r="O12" i="20" l="1"/>
  <c r="AJ12" i="20" s="1"/>
  <c r="AD8" i="15"/>
  <c r="AC8" i="15"/>
  <c r="AB8" i="15"/>
  <c r="AA8" i="15"/>
  <c r="Z8" i="15"/>
  <c r="Y8" i="15"/>
  <c r="AD6" i="15"/>
  <c r="AC6" i="15"/>
  <c r="AB6" i="15"/>
  <c r="AA6" i="15"/>
  <c r="Z6" i="15"/>
  <c r="Y6" i="15"/>
  <c r="A3" i="18"/>
  <c r="H1" i="15"/>
  <c r="AI2" i="19"/>
  <c r="K1" i="2"/>
  <c r="H1" i="22"/>
  <c r="Q2" i="3"/>
  <c r="C13" i="20" l="1"/>
  <c r="P15" i="20"/>
  <c r="P18" i="20"/>
  <c r="B49" i="19"/>
  <c r="BP49" i="19" s="1"/>
  <c r="B38" i="19"/>
  <c r="BP41" i="19" s="1"/>
  <c r="B28" i="19"/>
  <c r="BP30" i="19" s="1"/>
  <c r="BY10" i="19" s="1"/>
  <c r="B4" i="19"/>
  <c r="BY9" i="19" s="1"/>
  <c r="AJ31" i="20"/>
  <c r="J8" i="2"/>
  <c r="J10" i="2" s="1"/>
  <c r="I8" i="2"/>
  <c r="I10" i="2" s="1"/>
  <c r="H8" i="2"/>
  <c r="H10" i="2" s="1"/>
  <c r="G8" i="2"/>
  <c r="G10" i="2" s="1"/>
  <c r="F8" i="2"/>
  <c r="F10" i="2" s="1"/>
  <c r="E8" i="2"/>
  <c r="E10" i="2" s="1"/>
  <c r="D8" i="2"/>
  <c r="D10" i="2" s="1"/>
  <c r="C8" i="2"/>
  <c r="C10" i="2" s="1"/>
  <c r="D24" i="22"/>
  <c r="D23" i="22"/>
  <c r="D22" i="22"/>
  <c r="F10" i="22"/>
  <c r="F9" i="22"/>
  <c r="F8" i="22"/>
  <c r="F6" i="22"/>
  <c r="BP5" i="19" l="1"/>
  <c r="BU12" i="19"/>
  <c r="BQ51" i="19"/>
  <c r="BP51" i="19"/>
  <c r="BU11" i="19" l="1"/>
  <c r="BT10" i="19"/>
  <c r="BT9" i="19"/>
  <c r="BT11" i="19"/>
  <c r="BT18" i="19"/>
  <c r="BT17" i="19"/>
  <c r="BT16" i="19"/>
  <c r="BT15" i="19"/>
  <c r="BU17" i="19"/>
  <c r="BU16" i="19"/>
  <c r="BU15" i="19"/>
  <c r="BU14" i="19"/>
  <c r="BU10" i="19"/>
  <c r="BU9" i="19"/>
  <c r="BF8" i="19"/>
  <c r="N42" i="19" l="1"/>
  <c r="L10" i="3"/>
  <c r="B14" i="3" l="1"/>
  <c r="AJ33" i="20" l="1"/>
  <c r="BV32" i="19" l="1"/>
  <c r="BV33" i="19"/>
  <c r="BR33" i="19"/>
  <c r="N3" i="18"/>
  <c r="Z31" i="19"/>
  <c r="AF23" i="19"/>
  <c r="BY12" i="19" l="1"/>
  <c r="BY11" i="19"/>
  <c r="BS33" i="19"/>
  <c r="BZ12" i="19"/>
  <c r="BY32" i="19"/>
  <c r="BX32" i="19"/>
  <c r="BS32" i="19" s="1"/>
  <c r="BU13" i="19"/>
  <c r="BU8" i="19"/>
  <c r="BU7" i="19"/>
  <c r="BU18" i="19"/>
  <c r="Z9" i="19"/>
  <c r="Z11" i="19"/>
  <c r="Z13" i="19"/>
  <c r="Z17" i="19"/>
  <c r="Z19" i="19"/>
  <c r="Z21" i="19"/>
  <c r="Z15" i="19"/>
  <c r="BP32" i="19" l="1"/>
  <c r="BZ10" i="19" s="1"/>
  <c r="BT14" i="19"/>
  <c r="BT13" i="19"/>
  <c r="BT12" i="19"/>
  <c r="BT8" i="19"/>
  <c r="BT7" i="19"/>
  <c r="BQ7" i="19" l="1"/>
  <c r="BQ13" i="19"/>
  <c r="BP7" i="19" l="1"/>
  <c r="BZ9" i="19" s="1"/>
  <c r="CE51" i="19"/>
  <c r="CD51" i="19"/>
  <c r="CE50" i="19"/>
  <c r="CD50" i="19"/>
  <c r="CE49" i="19"/>
  <c r="CD49" i="19"/>
  <c r="CE48" i="19"/>
  <c r="CD48" i="19"/>
  <c r="CE47" i="19"/>
  <c r="CD47" i="19"/>
  <c r="CE46" i="19"/>
  <c r="CD46" i="19"/>
  <c r="C19" i="20"/>
  <c r="P19" i="20" s="1"/>
  <c r="O6" i="20"/>
  <c r="AW3" i="18"/>
  <c r="AV3" i="18"/>
  <c r="AU3" i="18"/>
  <c r="AT3" i="18"/>
  <c r="AS3" i="18"/>
  <c r="AR3" i="18"/>
  <c r="AQ3" i="18"/>
  <c r="AP3" i="18"/>
  <c r="AO3" i="18"/>
  <c r="AJ13" i="20" l="1"/>
  <c r="U3" i="18" l="1"/>
  <c r="S3" i="18"/>
  <c r="R3" i="18"/>
  <c r="L3" i="18"/>
  <c r="K3" i="18"/>
  <c r="J3" i="18"/>
  <c r="I3" i="18"/>
  <c r="H3" i="18"/>
  <c r="G3" i="18"/>
  <c r="F3" i="18"/>
  <c r="E3" i="18"/>
  <c r="B3" i="18"/>
  <c r="D3" i="18" l="1"/>
  <c r="B3" i="3" l="1"/>
  <c r="CG74" i="19" l="1"/>
  <c r="CH74" i="19" s="1"/>
  <c r="CG77" i="19"/>
  <c r="CI77" i="19" s="1"/>
  <c r="O3" i="18"/>
  <c r="CA49" i="19" l="1"/>
  <c r="CH77" i="19"/>
  <c r="CA46" i="19"/>
  <c r="CC46" i="19" s="1"/>
  <c r="CG71" i="19" s="1"/>
  <c r="CI71" i="19" s="1"/>
  <c r="CI74" i="19"/>
  <c r="CB46" i="19"/>
  <c r="CB49" i="19"/>
  <c r="CG68" i="19" l="1"/>
  <c r="CG80" i="19" s="1"/>
  <c r="CH71" i="19"/>
  <c r="CH68" i="19" l="1"/>
  <c r="CI68" i="19"/>
  <c r="CI80" i="19" s="1"/>
  <c r="L40" i="3"/>
  <c r="L41" i="3"/>
  <c r="L42" i="3"/>
  <c r="L39" i="3"/>
  <c r="B2" i="15"/>
  <c r="B1" i="15"/>
  <c r="AF6" i="15"/>
  <c r="C35" i="20"/>
  <c r="C34" i="20"/>
  <c r="C33" i="20"/>
  <c r="C32" i="20"/>
  <c r="CH80" i="19" l="1"/>
  <c r="C17" i="3"/>
  <c r="I3" i="2" s="1"/>
  <c r="C18" i="3"/>
  <c r="E40" i="15"/>
  <c r="L8" i="3"/>
  <c r="N4" i="3" l="1"/>
  <c r="AE3" i="20"/>
  <c r="AE4" i="20"/>
  <c r="AE5" i="20"/>
  <c r="AJ6" i="20"/>
  <c r="P6" i="20"/>
  <c r="O7" i="20"/>
  <c r="P7" i="20" s="1"/>
  <c r="O8" i="20"/>
  <c r="AJ8" i="20" s="1"/>
  <c r="O9" i="20"/>
  <c r="P9" i="20" s="1"/>
  <c r="O11" i="20"/>
  <c r="AJ11" i="20" s="1"/>
  <c r="P11" i="20"/>
  <c r="O15" i="20"/>
  <c r="AJ15" i="20" s="1"/>
  <c r="O16" i="20"/>
  <c r="AJ16" i="20" s="1"/>
  <c r="P16" i="20"/>
  <c r="O17" i="20"/>
  <c r="AJ17" i="20" s="1"/>
  <c r="P17" i="20"/>
  <c r="O18" i="20"/>
  <c r="AJ18" i="20" s="1"/>
  <c r="O19" i="20"/>
  <c r="AJ19" i="20" s="1"/>
  <c r="AE23" i="20"/>
  <c r="O3" i="20" l="1"/>
  <c r="P8" i="20"/>
  <c r="AJ7" i="20"/>
  <c r="AJ9" i="20"/>
  <c r="P3" i="20"/>
  <c r="AJ3" i="18" l="1"/>
  <c r="AE3" i="18"/>
  <c r="AH3" i="18"/>
  <c r="AF3" i="18"/>
  <c r="L9" i="3"/>
  <c r="AJ10" i="20"/>
  <c r="P10" i="20"/>
  <c r="Z11" i="15"/>
  <c r="Y11" i="15"/>
  <c r="AF11" i="15"/>
  <c r="O10" i="20"/>
  <c r="AJ3" i="20"/>
  <c r="AG3" i="18"/>
  <c r="AI3" i="18"/>
  <c r="P35" i="20" l="1"/>
  <c r="O35" i="20"/>
  <c r="AJ35" i="20"/>
  <c r="E38" i="15"/>
  <c r="AJ23" i="20"/>
  <c r="AJ30" i="20" s="1"/>
  <c r="F23" i="20"/>
  <c r="G23" i="20" s="1"/>
  <c r="P30" i="20" l="1"/>
  <c r="O30" i="20"/>
  <c r="O32" i="20" l="1"/>
  <c r="P32" i="20" l="1"/>
  <c r="B45" i="19"/>
  <c r="T5" i="19"/>
  <c r="B3" i="19"/>
  <c r="B2" i="19"/>
  <c r="K7" i="2"/>
  <c r="F5" i="2"/>
  <c r="D5" i="2"/>
  <c r="H4" i="2"/>
  <c r="B2" i="2"/>
  <c r="B1" i="2"/>
  <c r="B28" i="3"/>
  <c r="B27" i="3"/>
  <c r="B26" i="3"/>
  <c r="B25" i="3"/>
  <c r="B23" i="3"/>
  <c r="B22" i="3"/>
  <c r="B21" i="3"/>
  <c r="B20" i="3"/>
  <c r="B19" i="3"/>
  <c r="B12" i="3"/>
  <c r="Z33" i="19"/>
  <c r="N35" i="19"/>
  <c r="P3" i="18" s="1"/>
  <c r="Z35" i="19" l="1"/>
  <c r="Z42" i="19" s="1"/>
  <c r="BP43" i="19" l="1"/>
  <c r="BZ11" i="19" s="1"/>
  <c r="BV42" i="19"/>
  <c r="BQ43" i="19" s="1"/>
  <c r="T3" i="18"/>
  <c r="Q3" i="18"/>
  <c r="Z7" i="19"/>
  <c r="Z23" i="19" s="1"/>
  <c r="C7" i="2" s="1"/>
  <c r="C9" i="2" s="1"/>
  <c r="CB6" i="19" l="1"/>
  <c r="CB9" i="19" s="1"/>
  <c r="CA9" i="19"/>
  <c r="O34" i="20" s="1"/>
  <c r="D9" i="2"/>
  <c r="AJ34" i="20" l="1"/>
  <c r="P34" i="20"/>
  <c r="AV31" i="17"/>
  <c r="AY31" i="17" s="1"/>
  <c r="AV30" i="17"/>
  <c r="AY30" i="17" s="1"/>
  <c r="AV29" i="17"/>
  <c r="AY29" i="17" s="1"/>
  <c r="AV28" i="17"/>
  <c r="AY28" i="17" s="1"/>
  <c r="AV26" i="17"/>
  <c r="AY26" i="17" s="1"/>
  <c r="AV25" i="17"/>
  <c r="AY25" i="17" s="1"/>
  <c r="AV24" i="17"/>
  <c r="AY24" i="17" s="1"/>
  <c r="AV23" i="17"/>
  <c r="AY23" i="17" s="1"/>
  <c r="AW30" i="17" l="1"/>
  <c r="AW31" i="17"/>
  <c r="AV22" i="17"/>
  <c r="AW22" i="17"/>
  <c r="AW23" i="17"/>
  <c r="AW24" i="17"/>
  <c r="AW25" i="17"/>
  <c r="AW26" i="17"/>
  <c r="AW28" i="17"/>
  <c r="AW29" i="17"/>
  <c r="AY32" i="17" l="1"/>
  <c r="F27" i="20"/>
  <c r="N11" i="17"/>
  <c r="N9" i="17"/>
  <c r="N7" i="17"/>
  <c r="G20" i="3" l="1"/>
  <c r="A19" i="22" s="1"/>
  <c r="G27" i="20"/>
  <c r="S7" i="17"/>
  <c r="G22" i="3" l="1"/>
  <c r="S11" i="17"/>
  <c r="W17" i="17" l="1"/>
  <c r="W15" i="17"/>
  <c r="W13" i="17"/>
  <c r="S9" i="17"/>
  <c r="E7" i="2" l="1"/>
  <c r="G7" i="2" l="1"/>
  <c r="G9" i="2" s="1"/>
  <c r="E9" i="2"/>
  <c r="F7" i="2"/>
  <c r="F9" i="2" s="1"/>
  <c r="I7" i="2"/>
  <c r="H7" i="2"/>
  <c r="H9" i="2" s="1"/>
  <c r="J7" i="2" l="1"/>
  <c r="I9" i="2"/>
  <c r="J9" i="2" l="1"/>
  <c r="M3" i="18" s="1"/>
  <c r="A20" i="17" l="1"/>
</calcChain>
</file>

<file path=xl/sharedStrings.xml><?xml version="1.0" encoding="utf-8"?>
<sst xmlns="http://schemas.openxmlformats.org/spreadsheetml/2006/main" count="2368" uniqueCount="473">
  <si>
    <t>円</t>
    <rPh sb="0" eb="1">
      <t>エン</t>
    </rPh>
    <phoneticPr fontId="1"/>
  </si>
  <si>
    <t>県補助額
(G)×10/10
(H)</t>
    <phoneticPr fontId="1"/>
  </si>
  <si>
    <t>差引事業費
(A)―(B)
（C）</t>
    <phoneticPr fontId="1"/>
  </si>
  <si>
    <t>合計</t>
    <rPh sb="0" eb="2">
      <t>ゴウケイ</t>
    </rPh>
    <phoneticPr fontId="1"/>
  </si>
  <si>
    <t>注１「県補助額」(H)には、１，０００円未満を切り捨てた額を記入すること。</t>
    <phoneticPr fontId="1"/>
  </si>
  <si>
    <t>補助事業者名</t>
    <rPh sb="0" eb="2">
      <t>ホジョ</t>
    </rPh>
    <rPh sb="2" eb="4">
      <t>ジギョウ</t>
    </rPh>
    <rPh sb="4" eb="5">
      <t>シャ</t>
    </rPh>
    <rPh sb="5" eb="6">
      <t>メイ</t>
    </rPh>
    <phoneticPr fontId="1"/>
  </si>
  <si>
    <t>代表者氏名</t>
    <rPh sb="0" eb="3">
      <t>ダイヒョウシャ</t>
    </rPh>
    <rPh sb="3" eb="5">
      <t>シメイ</t>
    </rPh>
    <phoneticPr fontId="1"/>
  </si>
  <si>
    <t>　愛　知　県　知　事　殿</t>
    <phoneticPr fontId="1"/>
  </si>
  <si>
    <t>事業者名</t>
    <rPh sb="0" eb="3">
      <t>ジギョウシャ</t>
    </rPh>
    <rPh sb="3" eb="4">
      <t>メイ</t>
    </rPh>
    <phoneticPr fontId="1"/>
  </si>
  <si>
    <t>代表者役職</t>
    <rPh sb="0" eb="3">
      <t>ダイヒョウシャ</t>
    </rPh>
    <rPh sb="3" eb="5">
      <t>ヤクショク</t>
    </rPh>
    <phoneticPr fontId="1"/>
  </si>
  <si>
    <t>記</t>
    <rPh sb="0" eb="1">
      <t>キ</t>
    </rPh>
    <phoneticPr fontId="1"/>
  </si>
  <si>
    <t>提出日</t>
    <rPh sb="0" eb="2">
      <t>テイシュツ</t>
    </rPh>
    <rPh sb="2" eb="3">
      <t>ビ</t>
    </rPh>
    <phoneticPr fontId="1"/>
  </si>
  <si>
    <t>文書番号</t>
    <rPh sb="0" eb="2">
      <t>ブンショ</t>
    </rPh>
    <rPh sb="2" eb="4">
      <t>バンゴウ</t>
    </rPh>
    <phoneticPr fontId="1"/>
  </si>
  <si>
    <t>担当部署</t>
    <rPh sb="0" eb="2">
      <t>タントウ</t>
    </rPh>
    <rPh sb="2" eb="4">
      <t>ブショ</t>
    </rPh>
    <phoneticPr fontId="1"/>
  </si>
  <si>
    <t>担当者名</t>
    <rPh sb="0" eb="2">
      <t>タントウ</t>
    </rPh>
    <rPh sb="2" eb="3">
      <t>シャ</t>
    </rPh>
    <rPh sb="3" eb="4">
      <t>メイ</t>
    </rPh>
    <phoneticPr fontId="1"/>
  </si>
  <si>
    <t>電話番号</t>
    <rPh sb="0" eb="2">
      <t>デンワ</t>
    </rPh>
    <rPh sb="2" eb="4">
      <t>バンゴウ</t>
    </rPh>
    <phoneticPr fontId="1"/>
  </si>
  <si>
    <t>Mailｱﾄﾞﾚｽ</t>
    <phoneticPr fontId="1"/>
  </si>
  <si>
    <t>所在地</t>
    <rPh sb="0" eb="3">
      <t>ショザイチ</t>
    </rPh>
    <phoneticPr fontId="1"/>
  </si>
  <si>
    <t>歳入</t>
    <rPh sb="0" eb="2">
      <t>サイニュウ</t>
    </rPh>
    <phoneticPr fontId="5"/>
  </si>
  <si>
    <t>款</t>
    <rPh sb="0" eb="1">
      <t>カン</t>
    </rPh>
    <phoneticPr fontId="5"/>
  </si>
  <si>
    <t>項</t>
    <rPh sb="0" eb="1">
      <t>コウ</t>
    </rPh>
    <phoneticPr fontId="5"/>
  </si>
  <si>
    <t>目</t>
    <rPh sb="0" eb="1">
      <t>モク</t>
    </rPh>
    <phoneticPr fontId="5"/>
  </si>
  <si>
    <t>予算現額</t>
    <rPh sb="0" eb="2">
      <t>ヨサン</t>
    </rPh>
    <rPh sb="2" eb="3">
      <t>ウツツ</t>
    </rPh>
    <rPh sb="3" eb="4">
      <t>ガク</t>
    </rPh>
    <phoneticPr fontId="5"/>
  </si>
  <si>
    <t>節</t>
    <rPh sb="0" eb="1">
      <t>セツ</t>
    </rPh>
    <phoneticPr fontId="5"/>
  </si>
  <si>
    <t>備考</t>
    <rPh sb="0" eb="2">
      <t>ビコウ</t>
    </rPh>
    <phoneticPr fontId="5"/>
  </si>
  <si>
    <t>区分</t>
    <rPh sb="0" eb="2">
      <t>クブン</t>
    </rPh>
    <phoneticPr fontId="5"/>
  </si>
  <si>
    <t>金額</t>
    <rPh sb="0" eb="2">
      <t>キンガク</t>
    </rPh>
    <phoneticPr fontId="5"/>
  </si>
  <si>
    <t>円</t>
    <rPh sb="0" eb="1">
      <t>エン</t>
    </rPh>
    <phoneticPr fontId="5"/>
  </si>
  <si>
    <t>歳出</t>
    <rPh sb="0" eb="2">
      <t>サイシュツ</t>
    </rPh>
    <phoneticPr fontId="5"/>
  </si>
  <si>
    <t>　　　原本と相違ないことを証明します。</t>
    <rPh sb="3" eb="5">
      <t>ゲンポン</t>
    </rPh>
    <rPh sb="6" eb="8">
      <t>ソウイ</t>
    </rPh>
    <rPh sb="13" eb="15">
      <t>ショウメイ</t>
    </rPh>
    <phoneticPr fontId="5"/>
  </si>
  <si>
    <t>　　代表者職氏名</t>
    <rPh sb="2" eb="5">
      <t>ダイヒョウシャ</t>
    </rPh>
    <rPh sb="5" eb="6">
      <t>ショク</t>
    </rPh>
    <rPh sb="6" eb="8">
      <t>シメイ</t>
    </rPh>
    <phoneticPr fontId="5"/>
  </si>
  <si>
    <t>代表者職氏名</t>
    <rPh sb="0" eb="3">
      <t>ダイヒョウシャ</t>
    </rPh>
    <rPh sb="3" eb="4">
      <t>ショク</t>
    </rPh>
    <rPh sb="4" eb="6">
      <t>シメイ</t>
    </rPh>
    <phoneticPr fontId="1"/>
  </si>
  <si>
    <t>１　施設の名称及び所在地</t>
    <phoneticPr fontId="1"/>
  </si>
  <si>
    <t>施設所在地</t>
    <rPh sb="0" eb="5">
      <t>シセツショザイチ</t>
    </rPh>
    <phoneticPr fontId="1"/>
  </si>
  <si>
    <t>(注）節の金額が他の事業を含む場合は、当該補助対象事業分を備考欄に記入すること。</t>
    <rPh sb="1" eb="2">
      <t>チュウ</t>
    </rPh>
    <rPh sb="3" eb="4">
      <t>セツ</t>
    </rPh>
    <rPh sb="5" eb="7">
      <t>キンガク</t>
    </rPh>
    <rPh sb="8" eb="9">
      <t>タ</t>
    </rPh>
    <rPh sb="10" eb="12">
      <t>ジギョウ</t>
    </rPh>
    <rPh sb="13" eb="14">
      <t>フク</t>
    </rPh>
    <rPh sb="15" eb="17">
      <t>バアイ</t>
    </rPh>
    <rPh sb="19" eb="21">
      <t>トウガイ</t>
    </rPh>
    <rPh sb="21" eb="23">
      <t>ホジョ</t>
    </rPh>
    <rPh sb="23" eb="25">
      <t>タイショウ</t>
    </rPh>
    <rPh sb="25" eb="27">
      <t>ジギョウ</t>
    </rPh>
    <rPh sb="27" eb="28">
      <t>ブン</t>
    </rPh>
    <rPh sb="29" eb="31">
      <t>ビコウ</t>
    </rPh>
    <rPh sb="31" eb="32">
      <t>ラン</t>
    </rPh>
    <rPh sb="33" eb="35">
      <t>キニュウ</t>
    </rPh>
    <phoneticPr fontId="5"/>
  </si>
  <si>
    <t>月</t>
    <rPh sb="0" eb="1">
      <t>ツキ</t>
    </rPh>
    <phoneticPr fontId="1"/>
  </si>
  <si>
    <t>日</t>
    <rPh sb="0" eb="1">
      <t>ヒ</t>
    </rPh>
    <phoneticPr fontId="1"/>
  </si>
  <si>
    <t>台数</t>
    <rPh sb="0" eb="2">
      <t>ダイスウ</t>
    </rPh>
    <phoneticPr fontId="1"/>
  </si>
  <si>
    <t>受付番号（県入力）</t>
    <rPh sb="0" eb="4">
      <t>ウケツケバンゴウ</t>
    </rPh>
    <rPh sb="5" eb="8">
      <t>ケンニュウリョク</t>
    </rPh>
    <phoneticPr fontId="1"/>
  </si>
  <si>
    <t>施設の名称</t>
    <rPh sb="0" eb="2">
      <t>シセツ</t>
    </rPh>
    <rPh sb="3" eb="5">
      <t>メイショウ</t>
    </rPh>
    <phoneticPr fontId="1"/>
  </si>
  <si>
    <t>県補助
基本額
(G)</t>
    <phoneticPr fontId="1"/>
  </si>
  <si>
    <t>備考</t>
    <phoneticPr fontId="1"/>
  </si>
  <si>
    <t>所　  在 　 地</t>
    <rPh sb="0" eb="1">
      <t>トコロ</t>
    </rPh>
    <rPh sb="4" eb="5">
      <t>ザイ</t>
    </rPh>
    <rPh sb="8" eb="9">
      <t>チ</t>
    </rPh>
    <phoneticPr fontId="1"/>
  </si>
  <si>
    <t>総事業費
(A)</t>
    <phoneticPr fontId="1"/>
  </si>
  <si>
    <t>基準額
（E）</t>
    <phoneticPr fontId="1"/>
  </si>
  <si>
    <t>選定額
(F)</t>
    <phoneticPr fontId="1"/>
  </si>
  <si>
    <t>令和</t>
    <rPh sb="0" eb="2">
      <t>レイワ</t>
    </rPh>
    <phoneticPr fontId="1"/>
  </si>
  <si>
    <t>年</t>
    <rPh sb="0" eb="1">
      <t>ネン</t>
    </rPh>
    <phoneticPr fontId="1"/>
  </si>
  <si>
    <t>氏　名</t>
    <rPh sb="0" eb="1">
      <t>シ</t>
    </rPh>
    <rPh sb="2" eb="3">
      <t>ナ</t>
    </rPh>
    <phoneticPr fontId="16"/>
  </si>
  <si>
    <t>担　当　者</t>
    <rPh sb="0" eb="1">
      <t>タン</t>
    </rPh>
    <rPh sb="2" eb="3">
      <t>トウ</t>
    </rPh>
    <rPh sb="4" eb="5">
      <t>モノ</t>
    </rPh>
    <phoneticPr fontId="16"/>
  </si>
  <si>
    <t>電話番号</t>
    <rPh sb="0" eb="1">
      <t>デン</t>
    </rPh>
    <rPh sb="1" eb="2">
      <t>ハナシ</t>
    </rPh>
    <rPh sb="2" eb="4">
      <t>バンゴウ</t>
    </rPh>
    <phoneticPr fontId="16"/>
  </si>
  <si>
    <t>メールアドレス</t>
  </si>
  <si>
    <t>金融機関コード</t>
    <rPh sb="0" eb="2">
      <t>キンユウ</t>
    </rPh>
    <rPh sb="2" eb="4">
      <t>キカン</t>
    </rPh>
    <phoneticPr fontId="5"/>
  </si>
  <si>
    <t>支店番号</t>
    <rPh sb="0" eb="2">
      <t>シテン</t>
    </rPh>
    <rPh sb="2" eb="4">
      <t>バンゴウ</t>
    </rPh>
    <phoneticPr fontId="5"/>
  </si>
  <si>
    <t>金融機関名</t>
    <rPh sb="0" eb="2">
      <t>キンユウ</t>
    </rPh>
    <rPh sb="2" eb="4">
      <t>キカン</t>
    </rPh>
    <rPh sb="4" eb="5">
      <t>メイ</t>
    </rPh>
    <phoneticPr fontId="5"/>
  </si>
  <si>
    <t>店　名</t>
    <rPh sb="0" eb="1">
      <t>ミセ</t>
    </rPh>
    <rPh sb="2" eb="3">
      <t>ナ</t>
    </rPh>
    <phoneticPr fontId="5"/>
  </si>
  <si>
    <t>預金種類</t>
    <rPh sb="0" eb="2">
      <t>ヨキン</t>
    </rPh>
    <rPh sb="2" eb="4">
      <t>シュルイ</t>
    </rPh>
    <phoneticPr fontId="5"/>
  </si>
  <si>
    <t>１．普通　２．当座　（数字を記入してください。）</t>
    <rPh sb="7" eb="9">
      <t>トウザ</t>
    </rPh>
    <rPh sb="11" eb="13">
      <t>スウジ</t>
    </rPh>
    <rPh sb="14" eb="16">
      <t>キニュウ</t>
    </rPh>
    <phoneticPr fontId="5"/>
  </si>
  <si>
    <t>口座番号</t>
    <rPh sb="0" eb="2">
      <t>コウザ</t>
    </rPh>
    <rPh sb="2" eb="4">
      <t>バンゴウ</t>
    </rPh>
    <phoneticPr fontId="5"/>
  </si>
  <si>
    <t>口座名義（ｶﾅ）</t>
    <rPh sb="0" eb="2">
      <t>コウザ</t>
    </rPh>
    <rPh sb="2" eb="4">
      <t>メイギ</t>
    </rPh>
    <phoneticPr fontId="16"/>
  </si>
  <si>
    <r>
      <t>　　※口座名義（カナ）：</t>
    </r>
    <r>
      <rPr>
        <b/>
        <u val="double"/>
        <sz val="14"/>
        <color rgb="FFFF0000"/>
        <rFont val="游ゴシック"/>
        <family val="3"/>
        <charset val="128"/>
        <scheme val="minor"/>
      </rPr>
      <t>通帳の見開き等に記載されているカタカナの名義</t>
    </r>
    <r>
      <rPr>
        <b/>
        <sz val="14"/>
        <color rgb="FFFF0000"/>
        <rFont val="游ゴシック"/>
        <family val="3"/>
        <charset val="128"/>
        <scheme val="minor"/>
      </rPr>
      <t>をスペースを含め正確に記載してください。</t>
    </r>
    <rPh sb="3" eb="5">
      <t>コウザ</t>
    </rPh>
    <rPh sb="5" eb="7">
      <t>メイギ</t>
    </rPh>
    <rPh sb="12" eb="14">
      <t>ツウチョウ</t>
    </rPh>
    <rPh sb="15" eb="17">
      <t>ミヒラ</t>
    </rPh>
    <rPh sb="18" eb="19">
      <t>トウ</t>
    </rPh>
    <rPh sb="20" eb="22">
      <t>キサイ</t>
    </rPh>
    <rPh sb="32" eb="34">
      <t>メイギ</t>
    </rPh>
    <rPh sb="40" eb="41">
      <t>フク</t>
    </rPh>
    <rPh sb="42" eb="44">
      <t>セイカク</t>
    </rPh>
    <rPh sb="45" eb="47">
      <t>キサイ</t>
    </rPh>
    <phoneticPr fontId="16"/>
  </si>
  <si>
    <t>以下のとおりです。</t>
    <phoneticPr fontId="1"/>
  </si>
  <si>
    <t>口座名義</t>
    <rPh sb="0" eb="2">
      <t>コウザ</t>
    </rPh>
    <rPh sb="2" eb="4">
      <t>メイギ</t>
    </rPh>
    <phoneticPr fontId="16"/>
  </si>
  <si>
    <t xml:space="preserve">
本枠内に振込先口座の通帳の表紙見開きの写しを貼り付けしてください。
あるいは、本書を１枚目とし、通帳写しを２枚目とし左肩ホチキス止めとし
挙証資料（見積書、発注書又は契約書、納品書等）とともに
愛知県感染症対策課助成グループあて郵送により送付してください。
</t>
    <rPh sb="1" eb="2">
      <t>ホン</t>
    </rPh>
    <rPh sb="2" eb="4">
      <t>ワクナイ</t>
    </rPh>
    <rPh sb="5" eb="8">
      <t>フリコミサキ</t>
    </rPh>
    <rPh sb="8" eb="10">
      <t>コウザ</t>
    </rPh>
    <rPh sb="11" eb="13">
      <t>ツウチョウ</t>
    </rPh>
    <rPh sb="14" eb="16">
      <t>ヒョウシ</t>
    </rPh>
    <rPh sb="16" eb="18">
      <t>ミヒラ</t>
    </rPh>
    <rPh sb="20" eb="21">
      <t>ウツ</t>
    </rPh>
    <rPh sb="23" eb="24">
      <t>ハ</t>
    </rPh>
    <rPh sb="25" eb="26">
      <t>ツ</t>
    </rPh>
    <rPh sb="41" eb="43">
      <t>ホンショ</t>
    </rPh>
    <rPh sb="45" eb="47">
      <t>マイメ</t>
    </rPh>
    <rPh sb="50" eb="52">
      <t>ツウチョウ</t>
    </rPh>
    <rPh sb="52" eb="53">
      <t>ウツ</t>
    </rPh>
    <rPh sb="56" eb="58">
      <t>マイメ</t>
    </rPh>
    <rPh sb="60" eb="62">
      <t>ヒダリカタ</t>
    </rPh>
    <rPh sb="66" eb="67">
      <t>ド</t>
    </rPh>
    <rPh sb="72" eb="74">
      <t>キョショウ</t>
    </rPh>
    <rPh sb="74" eb="76">
      <t>シリョウ</t>
    </rPh>
    <rPh sb="77" eb="80">
      <t>ミツモリショ</t>
    </rPh>
    <rPh sb="81" eb="84">
      <t>ハッチュウショ</t>
    </rPh>
    <rPh sb="84" eb="85">
      <t>マタ</t>
    </rPh>
    <rPh sb="86" eb="89">
      <t>ケイヤクショ</t>
    </rPh>
    <rPh sb="90" eb="93">
      <t>ノウヒンショ</t>
    </rPh>
    <rPh sb="93" eb="94">
      <t>トウ</t>
    </rPh>
    <rPh sb="101" eb="104">
      <t>アイチケン</t>
    </rPh>
    <rPh sb="118" eb="120">
      <t>ユウソウ</t>
    </rPh>
    <rPh sb="123" eb="125">
      <t>ソウフ</t>
    </rPh>
    <phoneticPr fontId="16"/>
  </si>
  <si>
    <r>
      <t>振込先情報</t>
    </r>
    <r>
      <rPr>
        <b/>
        <sz val="12"/>
        <color rgb="FFFF0000"/>
        <rFont val="游ゴシック"/>
        <family val="3"/>
        <charset val="128"/>
        <scheme val="minor"/>
      </rPr>
      <t>※2</t>
    </r>
    <rPh sb="0" eb="3">
      <t>フリコミサキ</t>
    </rPh>
    <rPh sb="3" eb="5">
      <t>ジョウホウ</t>
    </rPh>
    <phoneticPr fontId="16"/>
  </si>
  <si>
    <t>←番号が７桁以下の場合は先頭に「0」を入力してください。</t>
    <rPh sb="1" eb="3">
      <t>バンゴウ</t>
    </rPh>
    <rPh sb="5" eb="6">
      <t>ケタ</t>
    </rPh>
    <rPh sb="6" eb="8">
      <t>イカ</t>
    </rPh>
    <rPh sb="9" eb="11">
      <t>バアイ</t>
    </rPh>
    <rPh sb="12" eb="14">
      <t>セントウ</t>
    </rPh>
    <rPh sb="19" eb="21">
      <t>ニュウリョク</t>
    </rPh>
    <phoneticPr fontId="1"/>
  </si>
  <si>
    <t>判定</t>
    <rPh sb="0" eb="2">
      <t>ハンテイ</t>
    </rPh>
    <phoneticPr fontId="1"/>
  </si>
  <si>
    <t>←「支店」、「営業部」まで入力してください。</t>
    <rPh sb="2" eb="4">
      <t>シテン</t>
    </rPh>
    <rPh sb="7" eb="10">
      <t>エイギョウブ</t>
    </rPh>
    <rPh sb="13" eb="15">
      <t>ニュウリョク</t>
    </rPh>
    <phoneticPr fontId="1"/>
  </si>
  <si>
    <t>←「株式会社」は不要。「銀行」、「信用金庫」等まで入力してください。</t>
    <rPh sb="2" eb="4">
      <t>カブシキ</t>
    </rPh>
    <rPh sb="4" eb="6">
      <t>カイシャ</t>
    </rPh>
    <rPh sb="8" eb="10">
      <t>フヨウ</t>
    </rPh>
    <rPh sb="12" eb="14">
      <t>ギンコウ</t>
    </rPh>
    <rPh sb="17" eb="19">
      <t>シンヨウ</t>
    </rPh>
    <rPh sb="19" eb="21">
      <t>キンコ</t>
    </rPh>
    <rPh sb="22" eb="23">
      <t>トウ</t>
    </rPh>
    <rPh sb="25" eb="27">
      <t>ニュウリョク</t>
    </rPh>
    <phoneticPr fontId="1"/>
  </si>
  <si>
    <t>←４桁の金融機関コードを半角数字で入力してください。</t>
    <rPh sb="2" eb="3">
      <t>ケタ</t>
    </rPh>
    <rPh sb="4" eb="6">
      <t>キンユウ</t>
    </rPh>
    <rPh sb="6" eb="8">
      <t>キカン</t>
    </rPh>
    <rPh sb="12" eb="14">
      <t>ハンカク</t>
    </rPh>
    <rPh sb="14" eb="16">
      <t>スウジ</t>
    </rPh>
    <rPh sb="17" eb="19">
      <t>ニュウリョク</t>
    </rPh>
    <phoneticPr fontId="1"/>
  </si>
  <si>
    <t>←３桁の支店コードを半角数字で入力してください。</t>
    <rPh sb="2" eb="3">
      <t>ケタ</t>
    </rPh>
    <rPh sb="4" eb="6">
      <t>シテン</t>
    </rPh>
    <rPh sb="10" eb="12">
      <t>ハンカク</t>
    </rPh>
    <rPh sb="12" eb="14">
      <t>スウジ</t>
    </rPh>
    <rPh sb="15" eb="17">
      <t>ニュウリョク</t>
    </rPh>
    <phoneticPr fontId="1"/>
  </si>
  <si>
    <t>コメント</t>
    <phoneticPr fontId="1"/>
  </si>
  <si>
    <t>総合判定</t>
    <rPh sb="0" eb="2">
      <t>ソウゴウ</t>
    </rPh>
    <rPh sb="2" eb="4">
      <t>ハンテイ</t>
    </rPh>
    <phoneticPr fontId="1"/>
  </si>
  <si>
    <t>電話番号（担当直通）</t>
    <rPh sb="0" eb="2">
      <t>デンワ</t>
    </rPh>
    <rPh sb="2" eb="4">
      <t>バンゴウ</t>
    </rPh>
    <rPh sb="5" eb="7">
      <t>タントウ</t>
    </rPh>
    <rPh sb="7" eb="9">
      <t>チョクツウ</t>
    </rPh>
    <phoneticPr fontId="1"/>
  </si>
  <si>
    <t>Mailｱﾄﾞﾚｽ（担当直通）</t>
    <rPh sb="10" eb="12">
      <t>タントウ</t>
    </rPh>
    <rPh sb="12" eb="14">
      <t>チョクツウ</t>
    </rPh>
    <phoneticPr fontId="1"/>
  </si>
  <si>
    <t>法人・個人事業主の別</t>
    <rPh sb="0" eb="2">
      <t>ホウジン</t>
    </rPh>
    <rPh sb="3" eb="5">
      <t>コジン</t>
    </rPh>
    <rPh sb="5" eb="8">
      <t>ジギョウヌシ</t>
    </rPh>
    <rPh sb="9" eb="10">
      <t>ベツ</t>
    </rPh>
    <phoneticPr fontId="1"/>
  </si>
  <si>
    <t>　　　法人（医療法人等）</t>
    <rPh sb="3" eb="5">
      <t>ホウジン</t>
    </rPh>
    <rPh sb="6" eb="8">
      <t>イリョウ</t>
    </rPh>
    <rPh sb="8" eb="10">
      <t>ホウジン</t>
    </rPh>
    <rPh sb="10" eb="11">
      <t>トウ</t>
    </rPh>
    <phoneticPr fontId="1"/>
  </si>
  <si>
    <t>　　　個人事業主（法人ではない）</t>
    <rPh sb="3" eb="5">
      <t>コジン</t>
    </rPh>
    <rPh sb="5" eb="7">
      <t>ジギョウ</t>
    </rPh>
    <rPh sb="7" eb="8">
      <t>ヌシ</t>
    </rPh>
    <rPh sb="9" eb="11">
      <t>ホウジン</t>
    </rPh>
    <phoneticPr fontId="1"/>
  </si>
  <si>
    <t>入力判定</t>
    <rPh sb="0" eb="2">
      <t>ニュウリョク</t>
    </rPh>
    <rPh sb="2" eb="4">
      <t>ハンテイ</t>
    </rPh>
    <phoneticPr fontId="1"/>
  </si>
  <si>
    <t>記入項目</t>
    <rPh sb="0" eb="2">
      <t>キニュウ</t>
    </rPh>
    <rPh sb="2" eb="4">
      <t>コウモク</t>
    </rPh>
    <phoneticPr fontId="1"/>
  </si>
  <si>
    <t>記入欄</t>
    <rPh sb="0" eb="2">
      <t>キニュウ</t>
    </rPh>
    <rPh sb="2" eb="3">
      <t>ラン</t>
    </rPh>
    <phoneticPr fontId="1"/>
  </si>
  <si>
    <t>月</t>
    <rPh sb="0" eb="1">
      <t>ガツ</t>
    </rPh>
    <phoneticPr fontId="1"/>
  </si>
  <si>
    <t>日</t>
    <rPh sb="0" eb="1">
      <t>ニチ</t>
    </rPh>
    <phoneticPr fontId="1"/>
  </si>
  <si>
    <t>○</t>
  </si>
  <si>
    <t>○</t>
    <phoneticPr fontId="1"/>
  </si>
  <si>
    <t>書類名称</t>
    <rPh sb="0" eb="2">
      <t>ショルイ</t>
    </rPh>
    <rPh sb="2" eb="4">
      <t>メイショウ</t>
    </rPh>
    <phoneticPr fontId="1"/>
  </si>
  <si>
    <t>はじめに入力してください</t>
    <rPh sb="4" eb="6">
      <t>ニュウリョク</t>
    </rPh>
    <phoneticPr fontId="1"/>
  </si>
  <si>
    <t>【必須】</t>
    <rPh sb="1" eb="3">
      <t>ヒッス</t>
    </rPh>
    <phoneticPr fontId="1"/>
  </si>
  <si>
    <t>公立医療機関の場合のみ</t>
    <rPh sb="0" eb="2">
      <t>コウリツ</t>
    </rPh>
    <rPh sb="2" eb="4">
      <t>イリョウ</t>
    </rPh>
    <rPh sb="4" eb="6">
      <t>キカン</t>
    </rPh>
    <rPh sb="7" eb="9">
      <t>バアイ</t>
    </rPh>
    <phoneticPr fontId="1"/>
  </si>
  <si>
    <t>入力の要否</t>
    <rPh sb="0" eb="2">
      <t>ニュウリョク</t>
    </rPh>
    <rPh sb="3" eb="5">
      <t>ヨウヒ</t>
    </rPh>
    <phoneticPr fontId="1"/>
  </si>
  <si>
    <t>補助金以外で事業に充当する寄付金その他の収入がある場合は入力してください。
（ない場合は入力は不要です。）</t>
    <rPh sb="0" eb="3">
      <t>ホジョキン</t>
    </rPh>
    <rPh sb="3" eb="5">
      <t>イガイ</t>
    </rPh>
    <rPh sb="6" eb="8">
      <t>ジギョウ</t>
    </rPh>
    <rPh sb="9" eb="11">
      <t>ジュウトウ</t>
    </rPh>
    <rPh sb="25" eb="27">
      <t>バアイ</t>
    </rPh>
    <rPh sb="28" eb="30">
      <t>ニュウリョク</t>
    </rPh>
    <rPh sb="41" eb="43">
      <t>バアイ</t>
    </rPh>
    <rPh sb="44" eb="46">
      <t>ニュウリョク</t>
    </rPh>
    <rPh sb="47" eb="49">
      <t>フヨウ</t>
    </rPh>
    <phoneticPr fontId="1"/>
  </si>
  <si>
    <t>受付番号</t>
    <rPh sb="0" eb="2">
      <t>ウケツケ</t>
    </rPh>
    <rPh sb="2" eb="4">
      <t>バンゴウ</t>
    </rPh>
    <phoneticPr fontId="1"/>
  </si>
  <si>
    <t>法人名</t>
    <rPh sb="0" eb="2">
      <t>ホウジン</t>
    </rPh>
    <rPh sb="2" eb="3">
      <t>メイ</t>
    </rPh>
    <phoneticPr fontId="1"/>
  </si>
  <si>
    <t>法人所在地</t>
    <rPh sb="0" eb="2">
      <t>ホウジン</t>
    </rPh>
    <rPh sb="2" eb="5">
      <t>ショザイチ</t>
    </rPh>
    <phoneticPr fontId="1"/>
  </si>
  <si>
    <t>代表者職名</t>
    <rPh sb="0" eb="3">
      <t>ダイヒョウシャ</t>
    </rPh>
    <rPh sb="3" eb="5">
      <t>ショクメイ</t>
    </rPh>
    <phoneticPr fontId="1"/>
  </si>
  <si>
    <t>施設名称</t>
    <rPh sb="0" eb="2">
      <t>シセツ</t>
    </rPh>
    <rPh sb="2" eb="4">
      <t>メイショウ</t>
    </rPh>
    <phoneticPr fontId="1"/>
  </si>
  <si>
    <t>施設所在地</t>
    <rPh sb="0" eb="2">
      <t>シセツ</t>
    </rPh>
    <rPh sb="2" eb="5">
      <t>ショザイチ</t>
    </rPh>
    <phoneticPr fontId="1"/>
  </si>
  <si>
    <t>担当者名</t>
    <rPh sb="0" eb="3">
      <t>タントウシャ</t>
    </rPh>
    <rPh sb="3" eb="4">
      <t>メイ</t>
    </rPh>
    <phoneticPr fontId="1"/>
  </si>
  <si>
    <t>電話</t>
    <rPh sb="0" eb="2">
      <t>デンワ</t>
    </rPh>
    <phoneticPr fontId="1"/>
  </si>
  <si>
    <t>メール</t>
    <phoneticPr fontId="1"/>
  </si>
  <si>
    <t>申請額</t>
    <rPh sb="0" eb="3">
      <t>シンセイガク</t>
    </rPh>
    <phoneticPr fontId="1"/>
  </si>
  <si>
    <t>事業完了予定日</t>
    <rPh sb="0" eb="2">
      <t>ジギョウ</t>
    </rPh>
    <rPh sb="2" eb="4">
      <t>カンリョウ</t>
    </rPh>
    <rPh sb="4" eb="6">
      <t>ヨテイ</t>
    </rPh>
    <rPh sb="6" eb="7">
      <t>ビ</t>
    </rPh>
    <phoneticPr fontId="1"/>
  </si>
  <si>
    <t>振込先情報</t>
    <rPh sb="0" eb="3">
      <t>フリコミサキ</t>
    </rPh>
    <rPh sb="3" eb="5">
      <t>ジョウホウ</t>
    </rPh>
    <phoneticPr fontId="1"/>
  </si>
  <si>
    <t>金融機関＆支店番号</t>
    <rPh sb="0" eb="2">
      <t>キンユウ</t>
    </rPh>
    <rPh sb="2" eb="4">
      <t>キカン</t>
    </rPh>
    <rPh sb="5" eb="7">
      <t>シテン</t>
    </rPh>
    <rPh sb="7" eb="9">
      <t>バンゴウ</t>
    </rPh>
    <phoneticPr fontId="1"/>
  </si>
  <si>
    <t>銀行名</t>
    <rPh sb="0" eb="3">
      <t>ギンコウメイ</t>
    </rPh>
    <phoneticPr fontId="1"/>
  </si>
  <si>
    <t>支店名</t>
    <rPh sb="0" eb="3">
      <t>シテンメイ</t>
    </rPh>
    <phoneticPr fontId="1"/>
  </si>
  <si>
    <t>預金種別</t>
    <rPh sb="0" eb="2">
      <t>ヨキン</t>
    </rPh>
    <rPh sb="2" eb="4">
      <t>シュベツ</t>
    </rPh>
    <phoneticPr fontId="1"/>
  </si>
  <si>
    <t>口座番号</t>
    <rPh sb="0" eb="2">
      <t>コウザ</t>
    </rPh>
    <rPh sb="2" eb="4">
      <t>バンゴウ</t>
    </rPh>
    <phoneticPr fontId="1"/>
  </si>
  <si>
    <t>口座名義（ｶﾅ）</t>
    <rPh sb="0" eb="2">
      <t>コウザ</t>
    </rPh>
    <rPh sb="2" eb="4">
      <t>メイギ</t>
    </rPh>
    <phoneticPr fontId="1"/>
  </si>
  <si>
    <t>口座名義</t>
    <rPh sb="0" eb="2">
      <t>コウザ</t>
    </rPh>
    <rPh sb="2" eb="4">
      <t>メイギ</t>
    </rPh>
    <phoneticPr fontId="1"/>
  </si>
  <si>
    <t>件名</t>
    <rPh sb="0" eb="2">
      <t>ケンメイ</t>
    </rPh>
    <phoneticPr fontId="1"/>
  </si>
  <si>
    <t>本文</t>
    <rPh sb="0" eb="2">
      <t>ホンブン</t>
    </rPh>
    <phoneticPr fontId="1"/>
  </si>
  <si>
    <t>修正事項</t>
    <rPh sb="0" eb="2">
      <t>シュウセイ</t>
    </rPh>
    <rPh sb="2" eb="4">
      <t>ジコウ</t>
    </rPh>
    <phoneticPr fontId="1"/>
  </si>
  <si>
    <t>４　添付書類</t>
    <rPh sb="2" eb="4">
      <t>テンプ</t>
    </rPh>
    <rPh sb="4" eb="6">
      <t>ショルイ</t>
    </rPh>
    <phoneticPr fontId="1"/>
  </si>
  <si>
    <t>事業</t>
    <rPh sb="0" eb="2">
      <t>ジギョウ</t>
    </rPh>
    <phoneticPr fontId="1"/>
  </si>
  <si>
    <t>新型コロナウイルス感染症検査機関等設備整備事業</t>
    <rPh sb="21" eb="23">
      <t>ジギョウ</t>
    </rPh>
    <phoneticPr fontId="1"/>
  </si>
  <si>
    <t>品目</t>
    <rPh sb="0" eb="2">
      <t>ヒンモク</t>
    </rPh>
    <phoneticPr fontId="1"/>
  </si>
  <si>
    <t>規格</t>
    <rPh sb="0" eb="2">
      <t>キカク</t>
    </rPh>
    <phoneticPr fontId="1"/>
  </si>
  <si>
    <t>※品目に該当する交付要綱別表（1）～（4）の補助対象設備を記入すること。</t>
    <rPh sb="1" eb="3">
      <t>ヒンモク</t>
    </rPh>
    <rPh sb="4" eb="6">
      <t>ガイトウ</t>
    </rPh>
    <rPh sb="8" eb="10">
      <t>コウフ</t>
    </rPh>
    <rPh sb="10" eb="12">
      <t>ヨウコウ</t>
    </rPh>
    <rPh sb="12" eb="14">
      <t>ベッピョウ</t>
    </rPh>
    <rPh sb="22" eb="24">
      <t>ホジョ</t>
    </rPh>
    <rPh sb="24" eb="26">
      <t>タイショウ</t>
    </rPh>
    <rPh sb="26" eb="28">
      <t>セツビ</t>
    </rPh>
    <rPh sb="29" eb="31">
      <t>キニュウ</t>
    </rPh>
    <phoneticPr fontId="1"/>
  </si>
  <si>
    <t>令和３年度</t>
    <rPh sb="0" eb="2">
      <t>レイワ</t>
    </rPh>
    <rPh sb="3" eb="5">
      <t>ネンド</t>
    </rPh>
    <phoneticPr fontId="1"/>
  </si>
  <si>
    <t>令和２年度</t>
    <rPh sb="0" eb="2">
      <t>レイワ</t>
    </rPh>
    <rPh sb="3" eb="5">
      <t>ネンド</t>
    </rPh>
    <phoneticPr fontId="1"/>
  </si>
  <si>
    <t>単価（税込・円）</t>
    <rPh sb="0" eb="2">
      <t>タンカ</t>
    </rPh>
    <rPh sb="3" eb="5">
      <t>ゼイコミ</t>
    </rPh>
    <rPh sb="6" eb="7">
      <t>エン</t>
    </rPh>
    <phoneticPr fontId="1"/>
  </si>
  <si>
    <t>総額（税込・円）</t>
    <rPh sb="0" eb="2">
      <t>ソウガク</t>
    </rPh>
    <phoneticPr fontId="1"/>
  </si>
  <si>
    <t>総台数</t>
    <rPh sb="0" eb="3">
      <t>ソウダイスウ</t>
    </rPh>
    <phoneticPr fontId="1"/>
  </si>
  <si>
    <t>次世代シークエンサー</t>
    <rPh sb="0" eb="3">
      <t>ジセダイ</t>
    </rPh>
    <phoneticPr fontId="1"/>
  </si>
  <si>
    <t>リアルタイムPCR</t>
    <phoneticPr fontId="1"/>
  </si>
  <si>
    <t>等温遺伝子増幅装置</t>
    <rPh sb="0" eb="9">
      <t>トウオンイデンシゾウフクソウチ</t>
    </rPh>
    <phoneticPr fontId="1"/>
  </si>
  <si>
    <t>全自動化学発光酵素免疫測定装置</t>
    <rPh sb="0" eb="15">
      <t>ゼンジドウカガクハッコウコウソメンエキソクテイソウチ</t>
    </rPh>
    <phoneticPr fontId="1"/>
  </si>
  <si>
    <t>計</t>
    <rPh sb="0" eb="1">
      <t>ケイ</t>
    </rPh>
    <phoneticPr fontId="1"/>
  </si>
  <si>
    <t>実施日数</t>
    <rPh sb="0" eb="2">
      <t>ジッシ</t>
    </rPh>
    <rPh sb="2" eb="4">
      <t>ニッスウ</t>
    </rPh>
    <phoneticPr fontId="1"/>
  </si>
  <si>
    <t>１日あたり
平均検査件数</t>
    <rPh sb="1" eb="2">
      <t>ニチ</t>
    </rPh>
    <rPh sb="6" eb="8">
      <t>ヘイキン</t>
    </rPh>
    <rPh sb="8" eb="10">
      <t>ケンサ</t>
    </rPh>
    <rPh sb="10" eb="12">
      <t>ケンスウ</t>
    </rPh>
    <phoneticPr fontId="1"/>
  </si>
  <si>
    <t>交付申請</t>
    <rPh sb="0" eb="2">
      <t>コウフ</t>
    </rPh>
    <rPh sb="2" eb="4">
      <t>シンセイ</t>
    </rPh>
    <phoneticPr fontId="1"/>
  </si>
  <si>
    <t>変更申請</t>
    <rPh sb="0" eb="2">
      <t>ヘンコウ</t>
    </rPh>
    <rPh sb="2" eb="4">
      <t>シンセイ</t>
    </rPh>
    <phoneticPr fontId="1"/>
  </si>
  <si>
    <t>実績報告</t>
    <rPh sb="0" eb="2">
      <t>ジッセキ</t>
    </rPh>
    <rPh sb="2" eb="4">
      <t>ホウコク</t>
    </rPh>
    <phoneticPr fontId="1"/>
  </si>
  <si>
    <r>
      <rPr>
        <b/>
        <sz val="18"/>
        <color theme="1"/>
        <rFont val="游ゴシック"/>
        <family val="3"/>
        <charset val="128"/>
        <scheme val="minor"/>
      </rPr>
      <t>２．各種様式の入力について</t>
    </r>
    <r>
      <rPr>
        <b/>
        <sz val="14"/>
        <color theme="1"/>
        <rFont val="游ゴシック"/>
        <family val="3"/>
        <charset val="128"/>
        <scheme val="minor"/>
      </rPr>
      <t xml:space="preserve">
　　上記「１．はじめに」を入力後、関係の様式に必要情報を入力いただきます。
　　下の表は、それぞれの様式で必要情報が適切に入力されているか否かの表示がされるようにされています。
　　作成にあたっての参考としていただき、</t>
    </r>
    <r>
      <rPr>
        <b/>
        <u/>
        <sz val="16"/>
        <color rgb="FFFF0000"/>
        <rFont val="游ゴシック"/>
        <family val="3"/>
        <charset val="128"/>
        <scheme val="minor"/>
      </rPr>
      <t>提出にあたっては「総合判定」が「○」になっていることを必ず確認</t>
    </r>
    <r>
      <rPr>
        <b/>
        <sz val="14"/>
        <color theme="1"/>
        <rFont val="游ゴシック"/>
        <family val="3"/>
        <charset val="128"/>
        <scheme val="minor"/>
      </rPr>
      <t>してください。</t>
    </r>
    <rPh sb="2" eb="4">
      <t>カクシュ</t>
    </rPh>
    <rPh sb="4" eb="6">
      <t>ヨウシキ</t>
    </rPh>
    <rPh sb="7" eb="9">
      <t>ニュウリョク</t>
    </rPh>
    <rPh sb="16" eb="18">
      <t>ジョウキ</t>
    </rPh>
    <rPh sb="27" eb="29">
      <t>ニュウリョク</t>
    </rPh>
    <rPh sb="29" eb="30">
      <t>ゴ</t>
    </rPh>
    <rPh sb="31" eb="33">
      <t>カンケイ</t>
    </rPh>
    <rPh sb="34" eb="36">
      <t>ヨウシキ</t>
    </rPh>
    <rPh sb="37" eb="39">
      <t>ヒツヨウ</t>
    </rPh>
    <rPh sb="39" eb="41">
      <t>ジョウホウ</t>
    </rPh>
    <rPh sb="42" eb="44">
      <t>ニュウリョク</t>
    </rPh>
    <rPh sb="54" eb="55">
      <t>シタ</t>
    </rPh>
    <rPh sb="56" eb="57">
      <t>ヒョウ</t>
    </rPh>
    <rPh sb="64" eb="66">
      <t>ヨウシキ</t>
    </rPh>
    <rPh sb="67" eb="69">
      <t>ヒツヨウ</t>
    </rPh>
    <rPh sb="69" eb="71">
      <t>ジョウホウ</t>
    </rPh>
    <rPh sb="72" eb="74">
      <t>テキセツ</t>
    </rPh>
    <rPh sb="75" eb="77">
      <t>ニュウリョク</t>
    </rPh>
    <rPh sb="83" eb="84">
      <t>イナ</t>
    </rPh>
    <rPh sb="86" eb="88">
      <t>ヒョウジ</t>
    </rPh>
    <rPh sb="105" eb="107">
      <t>サクセイ</t>
    </rPh>
    <rPh sb="113" eb="115">
      <t>サンコウ</t>
    </rPh>
    <rPh sb="123" eb="125">
      <t>テイシュツ</t>
    </rPh>
    <rPh sb="132" eb="134">
      <t>ソウゴウ</t>
    </rPh>
    <rPh sb="134" eb="136">
      <t>ハンテイ</t>
    </rPh>
    <rPh sb="150" eb="151">
      <t>カナラ</t>
    </rPh>
    <rPh sb="152" eb="154">
      <t>カクニン</t>
    </rPh>
    <phoneticPr fontId="1"/>
  </si>
  <si>
    <t>申立事項
申請内容が右記事項と相違ないことを確認し、「申立てする」を選択してください。</t>
    <rPh sb="0" eb="2">
      <t>モウシタテ</t>
    </rPh>
    <rPh sb="2" eb="4">
      <t>ジコウ</t>
    </rPh>
    <rPh sb="5" eb="7">
      <t>シンセイ</t>
    </rPh>
    <rPh sb="7" eb="9">
      <t>ナイヨウ</t>
    </rPh>
    <rPh sb="10" eb="12">
      <t>ウキ</t>
    </rPh>
    <rPh sb="12" eb="14">
      <t>ジコウ</t>
    </rPh>
    <rPh sb="15" eb="17">
      <t>ソウイ</t>
    </rPh>
    <rPh sb="22" eb="24">
      <t>カクニン</t>
    </rPh>
    <rPh sb="27" eb="28">
      <t>モウ</t>
    </rPh>
    <rPh sb="28" eb="29">
      <t>タ</t>
    </rPh>
    <rPh sb="34" eb="36">
      <t>センタク</t>
    </rPh>
    <phoneticPr fontId="1"/>
  </si>
  <si>
    <t>申し立てしない</t>
    <rPh sb="0" eb="1">
      <t>モウ</t>
    </rPh>
    <rPh sb="2" eb="3">
      <t>タ</t>
    </rPh>
    <phoneticPr fontId="1"/>
  </si>
  <si>
    <t>申立てする</t>
    <rPh sb="0" eb="2">
      <t>モウシタテ</t>
    </rPh>
    <phoneticPr fontId="1"/>
  </si>
  <si>
    <t>（任意）文書を発出する際に文書番号が必要である場合は入力してください</t>
    <phoneticPr fontId="1"/>
  </si>
  <si>
    <t>　　　公立医療機関</t>
    <rPh sb="3" eb="5">
      <t>コウリツ</t>
    </rPh>
    <rPh sb="5" eb="7">
      <t>イリョウ</t>
    </rPh>
    <rPh sb="7" eb="9">
      <t>キカン</t>
    </rPh>
    <phoneticPr fontId="1"/>
  </si>
  <si>
    <r>
      <rPr>
        <b/>
        <sz val="18"/>
        <color theme="1"/>
        <rFont val="游ゴシック"/>
        <family val="3"/>
        <charset val="128"/>
        <scheme val="minor"/>
      </rPr>
      <t>１．はじめに</t>
    </r>
    <r>
      <rPr>
        <b/>
        <sz val="14"/>
        <color theme="1"/>
        <rFont val="游ゴシック"/>
        <family val="3"/>
        <charset val="128"/>
        <scheme val="minor"/>
      </rPr>
      <t xml:space="preserve">
　　今回申請するにあたり、以下の記入欄に必要事項を入力してください。
　　→　記入欄右の「判定」が全て「○」となり、</t>
    </r>
    <r>
      <rPr>
        <b/>
        <u/>
        <sz val="16"/>
        <color rgb="FFFF0000"/>
        <rFont val="游ゴシック"/>
        <family val="3"/>
        <charset val="128"/>
        <scheme val="minor"/>
      </rPr>
      <t>赤表示が全て白表示に変われば入力完了</t>
    </r>
    <r>
      <rPr>
        <b/>
        <sz val="14"/>
        <color theme="1"/>
        <rFont val="游ゴシック"/>
        <family val="3"/>
        <charset val="128"/>
        <scheme val="minor"/>
      </rPr>
      <t>です。
　　→　記載不十分等の箇所はコメント欄を参照ください。
　　こちらで入力した内容はその後に入力いただく各種様式の必要記載部分に反映されます。</t>
    </r>
    <rPh sb="9" eb="11">
      <t>コンカイ</t>
    </rPh>
    <rPh sb="11" eb="13">
      <t>シンセイ</t>
    </rPh>
    <rPh sb="20" eb="22">
      <t>イカ</t>
    </rPh>
    <rPh sb="23" eb="26">
      <t>キニュウラン</t>
    </rPh>
    <rPh sb="27" eb="29">
      <t>ヒツヨウ</t>
    </rPh>
    <rPh sb="29" eb="31">
      <t>ジコウ</t>
    </rPh>
    <rPh sb="32" eb="34">
      <t>ニュウリョク</t>
    </rPh>
    <rPh sb="46" eb="49">
      <t>キニュウラン</t>
    </rPh>
    <rPh sb="49" eb="50">
      <t>ミギ</t>
    </rPh>
    <rPh sb="52" eb="54">
      <t>ハンテイ</t>
    </rPh>
    <rPh sb="56" eb="57">
      <t>スベ</t>
    </rPh>
    <rPh sb="65" eb="66">
      <t>アカ</t>
    </rPh>
    <rPh sb="66" eb="68">
      <t>ヒョウジ</t>
    </rPh>
    <rPh sb="69" eb="70">
      <t>スベ</t>
    </rPh>
    <rPh sb="71" eb="72">
      <t>シロ</t>
    </rPh>
    <rPh sb="72" eb="74">
      <t>ヒョウジ</t>
    </rPh>
    <rPh sb="75" eb="76">
      <t>カ</t>
    </rPh>
    <rPh sb="79" eb="81">
      <t>ニュウリョク</t>
    </rPh>
    <rPh sb="81" eb="83">
      <t>カンリョウ</t>
    </rPh>
    <rPh sb="91" eb="93">
      <t>キサイ</t>
    </rPh>
    <rPh sb="93" eb="96">
      <t>フジュウブン</t>
    </rPh>
    <rPh sb="96" eb="97">
      <t>トウ</t>
    </rPh>
    <rPh sb="98" eb="100">
      <t>カショ</t>
    </rPh>
    <rPh sb="105" eb="106">
      <t>ラン</t>
    </rPh>
    <rPh sb="107" eb="109">
      <t>サンショウ</t>
    </rPh>
    <rPh sb="121" eb="123">
      <t>ニュウリョク</t>
    </rPh>
    <rPh sb="125" eb="127">
      <t>ナイヨウ</t>
    </rPh>
    <rPh sb="130" eb="131">
      <t>ゴ</t>
    </rPh>
    <rPh sb="132" eb="134">
      <t>ニュウリョク</t>
    </rPh>
    <rPh sb="138" eb="140">
      <t>カクシュ</t>
    </rPh>
    <rPh sb="140" eb="142">
      <t>ヨウシキ</t>
    </rPh>
    <rPh sb="143" eb="145">
      <t>ヒツヨウ</t>
    </rPh>
    <rPh sb="145" eb="147">
      <t>キサイ</t>
    </rPh>
    <rPh sb="147" eb="149">
      <t>ブブン</t>
    </rPh>
    <rPh sb="150" eb="152">
      <t>ハンエイ</t>
    </rPh>
    <phoneticPr fontId="1"/>
  </si>
  <si>
    <t>入力区分</t>
    <rPh sb="0" eb="2">
      <t>ニュウリョク</t>
    </rPh>
    <rPh sb="2" eb="4">
      <t>クブン</t>
    </rPh>
    <phoneticPr fontId="1"/>
  </si>
  <si>
    <t>歳入</t>
    <rPh sb="0" eb="2">
      <t>サイニュウ</t>
    </rPh>
    <phoneticPr fontId="1"/>
  </si>
  <si>
    <t>歳出</t>
    <rPh sb="0" eb="2">
      <t>サイシュツ</t>
    </rPh>
    <phoneticPr fontId="1"/>
  </si>
  <si>
    <t>　　補助事業者名</t>
    <rPh sb="2" eb="4">
      <t>ホジョ</t>
    </rPh>
    <rPh sb="4" eb="6">
      <t>ジギョウ</t>
    </rPh>
    <rPh sb="6" eb="7">
      <t>シャ</t>
    </rPh>
    <rPh sb="7" eb="8">
      <t>メイ</t>
    </rPh>
    <phoneticPr fontId="5"/>
  </si>
  <si>
    <t>計</t>
    <rPh sb="0" eb="1">
      <t>ケイ</t>
    </rPh>
    <phoneticPr fontId="1"/>
  </si>
  <si>
    <t>本補助金交付年度</t>
    <rPh sb="0" eb="1">
      <t>ホン</t>
    </rPh>
    <rPh sb="1" eb="4">
      <t>ホジョキン</t>
    </rPh>
    <rPh sb="4" eb="6">
      <t>コウフ</t>
    </rPh>
    <rPh sb="6" eb="8">
      <t>ネンド</t>
    </rPh>
    <phoneticPr fontId="1"/>
  </si>
  <si>
    <t>自主整備</t>
    <rPh sb="0" eb="2">
      <t>ジシュ</t>
    </rPh>
    <rPh sb="2" eb="4">
      <t>セイビ</t>
    </rPh>
    <phoneticPr fontId="1"/>
  </si>
  <si>
    <t>令和４年（１月～）
行政検査実施
（検体採取）件数</t>
    <rPh sb="0" eb="2">
      <t>レイワ</t>
    </rPh>
    <rPh sb="3" eb="4">
      <t>ネン</t>
    </rPh>
    <rPh sb="6" eb="7">
      <t>ガツ</t>
    </rPh>
    <rPh sb="10" eb="12">
      <t>ギョウセイ</t>
    </rPh>
    <rPh sb="12" eb="14">
      <t>ケンサ</t>
    </rPh>
    <rPh sb="14" eb="16">
      <t>ジッシ</t>
    </rPh>
    <rPh sb="18" eb="20">
      <t>ケンタイ</t>
    </rPh>
    <rPh sb="20" eb="22">
      <t>サイシュ</t>
    </rPh>
    <rPh sb="23" eb="25">
      <t>ケンスウ</t>
    </rPh>
    <phoneticPr fontId="1"/>
  </si>
  <si>
    <t>１日あたり最大検査
件数（令和４年）</t>
    <rPh sb="1" eb="2">
      <t>ニチ</t>
    </rPh>
    <rPh sb="5" eb="7">
      <t>サイダイ</t>
    </rPh>
    <rPh sb="7" eb="9">
      <t>ケンサ</t>
    </rPh>
    <rPh sb="10" eb="12">
      <t>ケンスウ</t>
    </rPh>
    <rPh sb="13" eb="15">
      <t>レイワ</t>
    </rPh>
    <rPh sb="16" eb="17">
      <t>ネン</t>
    </rPh>
    <phoneticPr fontId="1"/>
  </si>
  <si>
    <t>整備後の自院での検査
分析可能件数
（1日あたり）</t>
    <rPh sb="0" eb="2">
      <t>セイビ</t>
    </rPh>
    <rPh sb="2" eb="3">
      <t>ゴ</t>
    </rPh>
    <rPh sb="4" eb="6">
      <t>ジイン</t>
    </rPh>
    <rPh sb="8" eb="10">
      <t>ケンサ</t>
    </rPh>
    <rPh sb="11" eb="13">
      <t>ブンセキ</t>
    </rPh>
    <rPh sb="13" eb="15">
      <t>カノウ</t>
    </rPh>
    <rPh sb="15" eb="17">
      <t>ケンスウ</t>
    </rPh>
    <rPh sb="20" eb="21">
      <t>ニチ</t>
    </rPh>
    <phoneticPr fontId="1"/>
  </si>
  <si>
    <r>
      <t>※「１台あたり１日の検査分析可能見込件数」「整備後の自院での検査分析可能件数（１日あたり）」の記入にあたっては、単なる検査機器台数によるものではなく、</t>
    </r>
    <r>
      <rPr>
        <b/>
        <u/>
        <sz val="14"/>
        <color rgb="FFFF0000"/>
        <rFont val="游ゴシック"/>
        <family val="3"/>
        <charset val="128"/>
        <scheme val="minor"/>
      </rPr>
      <t>検査対応が可能な要員数も加味</t>
    </r>
    <r>
      <rPr>
        <b/>
        <sz val="14"/>
        <color theme="1"/>
        <rFont val="游ゴシック"/>
        <family val="3"/>
        <charset val="128"/>
        <scheme val="minor"/>
      </rPr>
      <t>すること。</t>
    </r>
    <rPh sb="22" eb="24">
      <t>セイビ</t>
    </rPh>
    <rPh sb="24" eb="25">
      <t>ゴ</t>
    </rPh>
    <rPh sb="26" eb="28">
      <t>ジイン</t>
    </rPh>
    <rPh sb="30" eb="32">
      <t>ケンサ</t>
    </rPh>
    <rPh sb="32" eb="34">
      <t>ブンセキ</t>
    </rPh>
    <rPh sb="34" eb="36">
      <t>カノウ</t>
    </rPh>
    <rPh sb="36" eb="38">
      <t>ケンスウ</t>
    </rPh>
    <rPh sb="40" eb="41">
      <t>ニチ</t>
    </rPh>
    <rPh sb="47" eb="49">
      <t>キニュウ</t>
    </rPh>
    <rPh sb="56" eb="57">
      <t>タン</t>
    </rPh>
    <rPh sb="59" eb="61">
      <t>ケンサ</t>
    </rPh>
    <rPh sb="61" eb="63">
      <t>キキ</t>
    </rPh>
    <rPh sb="63" eb="65">
      <t>ダイスウ</t>
    </rPh>
    <rPh sb="75" eb="77">
      <t>ケンサ</t>
    </rPh>
    <rPh sb="77" eb="79">
      <t>タイオウ</t>
    </rPh>
    <rPh sb="80" eb="82">
      <t>カノウ</t>
    </rPh>
    <rPh sb="83" eb="86">
      <t>ヨウインスウ</t>
    </rPh>
    <rPh sb="87" eb="89">
      <t>カミ</t>
    </rPh>
    <phoneticPr fontId="1"/>
  </si>
  <si>
    <t>１台あたり１日の
検査分析可能件数</t>
    <rPh sb="1" eb="2">
      <t>ダイ</t>
    </rPh>
    <rPh sb="6" eb="7">
      <t>ニチ</t>
    </rPh>
    <rPh sb="9" eb="11">
      <t>ケンサ</t>
    </rPh>
    <rPh sb="11" eb="13">
      <t>ブンセキ</t>
    </rPh>
    <rPh sb="13" eb="15">
      <t>カノウ</t>
    </rPh>
    <rPh sb="15" eb="17">
      <t>ケンスウ</t>
    </rPh>
    <phoneticPr fontId="1"/>
  </si>
  <si>
    <t>検査分析可能件数</t>
    <rPh sb="0" eb="2">
      <t>ケンサ</t>
    </rPh>
    <rPh sb="2" eb="4">
      <t>ブンセキ</t>
    </rPh>
    <rPh sb="4" eb="6">
      <t>カノウ</t>
    </rPh>
    <rPh sb="6" eb="8">
      <t>ケンスウ</t>
    </rPh>
    <phoneticPr fontId="1"/>
  </si>
  <si>
    <t>判定</t>
    <rPh sb="0" eb="2">
      <t>ハンテイ</t>
    </rPh>
    <phoneticPr fontId="1"/>
  </si>
  <si>
    <t>コメント</t>
    <phoneticPr fontId="1"/>
  </si>
  <si>
    <t>→</t>
    <phoneticPr fontId="1"/>
  </si>
  <si>
    <t>１　整備内容</t>
    <rPh sb="2" eb="4">
      <t>セイビ</t>
    </rPh>
    <rPh sb="4" eb="6">
      <t>ナイヨウ</t>
    </rPh>
    <phoneticPr fontId="1"/>
  </si>
  <si>
    <t>２　現在の設備保有状況</t>
    <rPh sb="2" eb="4">
      <t>ゲンザイ</t>
    </rPh>
    <rPh sb="5" eb="7">
      <t>セツビ</t>
    </rPh>
    <rPh sb="7" eb="9">
      <t>ホユウ</t>
    </rPh>
    <rPh sb="9" eb="11">
      <t>ジョウキョウ</t>
    </rPh>
    <phoneticPr fontId="1"/>
  </si>
  <si>
    <t>４　整備理由</t>
    <rPh sb="2" eb="4">
      <t>セイビ</t>
    </rPh>
    <rPh sb="4" eb="6">
      <t>リユウ</t>
    </rPh>
    <phoneticPr fontId="1"/>
  </si>
  <si>
    <t>項目</t>
    <rPh sb="0" eb="2">
      <t>コウモク</t>
    </rPh>
    <phoneticPr fontId="1"/>
  </si>
  <si>
    <t>３　見込まれる検査需要及び現在の検査能力</t>
    <phoneticPr fontId="1"/>
  </si>
  <si>
    <t>総合判定</t>
    <rPh sb="0" eb="2">
      <t>ソウゴウ</t>
    </rPh>
    <rPh sb="2" eb="4">
      <t>ハンテイ</t>
    </rPh>
    <phoneticPr fontId="1"/>
  </si>
  <si>
    <t>　申請者は、以下いずれの事項にも該当するものであることを申し立てます。
□　補助を受ける経費について他の補助金等の交付を受けていないこと。
□　本補助金により整備した設備は新型コロナウイルス感染症対策の目的以外に使用しないこと。
□　愛知県等から感染症法に基づく行政検査の依頼があった場合に休日等問わず迅速かつ確実に検査を実施できる体制が確保されていること。
□　県との委託契約に基づき行政検査を実施した際は、検査結果が陽性の場合に新型コロナウイルス感染者等情報把握・管理支援システム（HER-SYS）に検査の結果を入力すること。
□　本補助金の収入、支出等に係る証拠書類を５年間適切に整備保管すること。
□　暴力団員又は暴力団関係者と実質的を含めいかなる関係も有していないこと。</t>
    <rPh sb="1" eb="3">
      <t>シンセイ</t>
    </rPh>
    <rPh sb="6" eb="8">
      <t>イカ</t>
    </rPh>
    <rPh sb="12" eb="14">
      <t>ジコウ</t>
    </rPh>
    <rPh sb="16" eb="18">
      <t>ガイトウ</t>
    </rPh>
    <rPh sb="28" eb="29">
      <t>モウ</t>
    </rPh>
    <rPh sb="30" eb="31">
      <t>タ</t>
    </rPh>
    <rPh sb="72" eb="73">
      <t>ホン</t>
    </rPh>
    <rPh sb="73" eb="76">
      <t>ホジョキン</t>
    </rPh>
    <rPh sb="79" eb="81">
      <t>セイビ</t>
    </rPh>
    <rPh sb="86" eb="88">
      <t>シンガタ</t>
    </rPh>
    <rPh sb="95" eb="98">
      <t>カンセンショウ</t>
    </rPh>
    <rPh sb="98" eb="100">
      <t>タイサク</t>
    </rPh>
    <rPh sb="101" eb="103">
      <t>モクテキ</t>
    </rPh>
    <rPh sb="104" eb="105">
      <t>ガイ</t>
    </rPh>
    <rPh sb="106" eb="108">
      <t>シヨウ</t>
    </rPh>
    <rPh sb="268" eb="269">
      <t>ホン</t>
    </rPh>
    <rPh sb="309" eb="310">
      <t>マタ</t>
    </rPh>
    <phoneticPr fontId="1"/>
  </si>
  <si>
    <t>　申請者は、以下いずれの事項にも該当するものであることを申し立てます。
☑　補助を受ける経費について他の補助金等の交付を受けていないこと。
☑　本補助金により整備した設備は新型コロナウイルス感染症対策の目的以外に使用しないこと。
☑　愛知県等から感染症法に基づく行政検査の依頼があった場合に休日等問わず迅速かつ確実に検査を実施できる体制が確保されていること。
☑　県との委託契約に基づき行政検査を実施した際は、検査結果が陽性の場合に新型コロナウイルス感染者等情報把握・管理支援システム（HER-SYS）に検査の結果を入力すること。
☑　本補助金の収入、支出等に係る証拠書類を５年間適切に整備保管すること。
☑　暴力団員又は暴力団関係者と実質的を含めいかなる関係も有していないこと。</t>
    <rPh sb="1" eb="3">
      <t>シンセイ</t>
    </rPh>
    <rPh sb="6" eb="8">
      <t>イカ</t>
    </rPh>
    <rPh sb="12" eb="14">
      <t>ジコウ</t>
    </rPh>
    <rPh sb="16" eb="18">
      <t>ガイトウ</t>
    </rPh>
    <rPh sb="28" eb="29">
      <t>モウ</t>
    </rPh>
    <rPh sb="30" eb="31">
      <t>タ</t>
    </rPh>
    <rPh sb="72" eb="73">
      <t>ホン</t>
    </rPh>
    <rPh sb="73" eb="76">
      <t>ホジョキン</t>
    </rPh>
    <rPh sb="79" eb="81">
      <t>セイビ</t>
    </rPh>
    <rPh sb="86" eb="88">
      <t>シンガタ</t>
    </rPh>
    <rPh sb="95" eb="98">
      <t>カンセンショウ</t>
    </rPh>
    <rPh sb="98" eb="100">
      <t>タイサク</t>
    </rPh>
    <rPh sb="101" eb="103">
      <t>モクテキ</t>
    </rPh>
    <rPh sb="104" eb="105">
      <t>ガイ</t>
    </rPh>
    <rPh sb="106" eb="108">
      <t>シヨウ</t>
    </rPh>
    <rPh sb="268" eb="269">
      <t>ホン</t>
    </rPh>
    <rPh sb="309" eb="310">
      <t>マタ</t>
    </rPh>
    <phoneticPr fontId="1"/>
  </si>
  <si>
    <t>（単位：円）</t>
    <rPh sb="1" eb="3">
      <t>タンイ</t>
    </rPh>
    <rPh sb="4" eb="5">
      <t>エン</t>
    </rPh>
    <phoneticPr fontId="1"/>
  </si>
  <si>
    <t>処理区分</t>
    <rPh sb="0" eb="2">
      <t>ショリ</t>
    </rPh>
    <rPh sb="2" eb="4">
      <t>クブン</t>
    </rPh>
    <phoneticPr fontId="1"/>
  </si>
  <si>
    <t>債権者コード</t>
    <rPh sb="0" eb="3">
      <t>サイケンシャ</t>
    </rPh>
    <phoneticPr fontId="1"/>
  </si>
  <si>
    <t>登録区分</t>
    <rPh sb="0" eb="2">
      <t>トウロク</t>
    </rPh>
    <rPh sb="2" eb="4">
      <t>クブン</t>
    </rPh>
    <phoneticPr fontId="1"/>
  </si>
  <si>
    <t>所属コード</t>
    <rPh sb="0" eb="2">
      <t>ショゾク</t>
    </rPh>
    <phoneticPr fontId="1"/>
  </si>
  <si>
    <t>会社区分
コード</t>
    <rPh sb="0" eb="2">
      <t>カイシャ</t>
    </rPh>
    <rPh sb="2" eb="4">
      <t>クブン</t>
    </rPh>
    <phoneticPr fontId="1"/>
  </si>
  <si>
    <t>住所コード</t>
    <rPh sb="0" eb="2">
      <t>ジュウショ</t>
    </rPh>
    <phoneticPr fontId="1"/>
  </si>
  <si>
    <t>番地</t>
    <rPh sb="0" eb="2">
      <t>バンチ</t>
    </rPh>
    <phoneticPr fontId="1"/>
  </si>
  <si>
    <t>方書</t>
    <rPh sb="0" eb="1">
      <t>カタ</t>
    </rPh>
    <rPh sb="1" eb="2">
      <t>ガキ</t>
    </rPh>
    <phoneticPr fontId="1"/>
  </si>
  <si>
    <t>屋号等(半角ｶﾅ)</t>
    <rPh sb="0" eb="2">
      <t>ヤゴウ</t>
    </rPh>
    <rPh sb="2" eb="3">
      <t>トウ</t>
    </rPh>
    <rPh sb="4" eb="6">
      <t>ハンカク</t>
    </rPh>
    <phoneticPr fontId="1"/>
  </si>
  <si>
    <t>屋号等</t>
    <rPh sb="0" eb="3">
      <t>ヤゴウトウ</t>
    </rPh>
    <phoneticPr fontId="1"/>
  </si>
  <si>
    <t>氏名・名称(半角ｶﾅ)</t>
    <rPh sb="0" eb="2">
      <t>シメイ</t>
    </rPh>
    <rPh sb="3" eb="5">
      <t>メイショウ</t>
    </rPh>
    <rPh sb="6" eb="8">
      <t>ハンカク</t>
    </rPh>
    <phoneticPr fontId="1"/>
  </si>
  <si>
    <t>氏名・名称</t>
    <rPh sb="0" eb="2">
      <t>シメイ</t>
    </rPh>
    <rPh sb="3" eb="5">
      <t>メイショウ</t>
    </rPh>
    <phoneticPr fontId="1"/>
  </si>
  <si>
    <t>代表者(半角ｶﾅ)</t>
    <rPh sb="0" eb="3">
      <t>ダイヒョウシャ</t>
    </rPh>
    <rPh sb="4" eb="6">
      <t>ハンカク</t>
    </rPh>
    <phoneticPr fontId="1"/>
  </si>
  <si>
    <t>代表者</t>
    <rPh sb="0" eb="3">
      <t>ダイヒョウシャ</t>
    </rPh>
    <phoneticPr fontId="1"/>
  </si>
  <si>
    <t>支払方法
コード</t>
    <rPh sb="0" eb="2">
      <t>シハライ</t>
    </rPh>
    <rPh sb="2" eb="4">
      <t>ホウホウ</t>
    </rPh>
    <phoneticPr fontId="1"/>
  </si>
  <si>
    <t>個別郵便番号</t>
    <rPh sb="0" eb="2">
      <t>コベツ</t>
    </rPh>
    <rPh sb="2" eb="6">
      <t>ユウビンバンゴウ</t>
    </rPh>
    <phoneticPr fontId="1"/>
  </si>
  <si>
    <t>口座内訳番号</t>
    <rPh sb="0" eb="2">
      <t>コウザ</t>
    </rPh>
    <rPh sb="2" eb="4">
      <t>ウチワケ</t>
    </rPh>
    <rPh sb="4" eb="6">
      <t>バンゴウ</t>
    </rPh>
    <phoneticPr fontId="1"/>
  </si>
  <si>
    <t>口座説明</t>
    <rPh sb="0" eb="2">
      <t>コウザ</t>
    </rPh>
    <rPh sb="2" eb="4">
      <t>セツメイ</t>
    </rPh>
    <phoneticPr fontId="1"/>
  </si>
  <si>
    <t>01</t>
  </si>
  <si>
    <t>検査可能件数</t>
    <rPh sb="0" eb="2">
      <t>ケンサ</t>
    </rPh>
    <rPh sb="2" eb="4">
      <t>カノウ</t>
    </rPh>
    <rPh sb="4" eb="6">
      <t>ケンスウ</t>
    </rPh>
    <phoneticPr fontId="1"/>
  </si>
  <si>
    <t>既設分</t>
    <rPh sb="0" eb="2">
      <t>キセツ</t>
    </rPh>
    <rPh sb="2" eb="3">
      <t>ブン</t>
    </rPh>
    <phoneticPr fontId="1"/>
  </si>
  <si>
    <t>平均検査件数</t>
    <rPh sb="0" eb="2">
      <t>ヘイキン</t>
    </rPh>
    <rPh sb="2" eb="4">
      <t>ケンサ</t>
    </rPh>
    <rPh sb="4" eb="6">
      <t>ケンスウ</t>
    </rPh>
    <phoneticPr fontId="1"/>
  </si>
  <si>
    <t>最大検査件数</t>
    <rPh sb="0" eb="2">
      <t>サイダイ</t>
    </rPh>
    <rPh sb="2" eb="4">
      <t>ケンサ</t>
    </rPh>
    <rPh sb="4" eb="6">
      <t>ケンスウ</t>
    </rPh>
    <phoneticPr fontId="1"/>
  </si>
  <si>
    <t>整備後可能件数</t>
    <rPh sb="0" eb="2">
      <t>セイビ</t>
    </rPh>
    <rPh sb="2" eb="3">
      <t>ゴ</t>
    </rPh>
    <rPh sb="3" eb="5">
      <t>カノウ</t>
    </rPh>
    <rPh sb="5" eb="7">
      <t>ケンスウ</t>
    </rPh>
    <phoneticPr fontId="1"/>
  </si>
  <si>
    <t>整備理由</t>
    <rPh sb="0" eb="2">
      <t>セイビ</t>
    </rPh>
    <rPh sb="2" eb="4">
      <t>リユウ</t>
    </rPh>
    <phoneticPr fontId="1"/>
  </si>
  <si>
    <t>←コメントまとめ</t>
    <phoneticPr fontId="1"/>
  </si>
  <si>
    <t>判　定</t>
    <rPh sb="0" eb="1">
      <t>ハン</t>
    </rPh>
    <rPh sb="2" eb="3">
      <t>サダム</t>
    </rPh>
    <phoneticPr fontId="1"/>
  </si>
  <si>
    <t>規格</t>
    <rPh sb="0" eb="2">
      <t>キカク</t>
    </rPh>
    <phoneticPr fontId="1"/>
  </si>
  <si>
    <t>本体</t>
    <rPh sb="0" eb="2">
      <t>ホンタイ</t>
    </rPh>
    <phoneticPr fontId="1"/>
  </si>
  <si>
    <t>数量</t>
    <rPh sb="0" eb="2">
      <t>スウリョウ</t>
    </rPh>
    <phoneticPr fontId="1"/>
  </si>
  <si>
    <t>類別
本体又は
付属備品</t>
    <rPh sb="0" eb="2">
      <t>ルイベツ</t>
    </rPh>
    <rPh sb="3" eb="5">
      <t>ホンタイ</t>
    </rPh>
    <rPh sb="5" eb="6">
      <t>マタ</t>
    </rPh>
    <rPh sb="8" eb="10">
      <t>フゾク</t>
    </rPh>
    <rPh sb="10" eb="12">
      <t>ビヒン</t>
    </rPh>
    <phoneticPr fontId="1"/>
  </si>
  <si>
    <t>１台あたり１日の検査分析可能見込件数</t>
    <rPh sb="1" eb="2">
      <t>ダイ</t>
    </rPh>
    <rPh sb="6" eb="7">
      <t>ニチ</t>
    </rPh>
    <rPh sb="8" eb="10">
      <t>ケンサ</t>
    </rPh>
    <rPh sb="10" eb="12">
      <t>ブンセキ</t>
    </rPh>
    <rPh sb="12" eb="14">
      <t>カノウ</t>
    </rPh>
    <rPh sb="14" eb="16">
      <t>ミコ</t>
    </rPh>
    <rPh sb="16" eb="18">
      <t>ケンスウ</t>
    </rPh>
    <phoneticPr fontId="1"/>
  </si>
  <si>
    <t>付属備品1</t>
    <rPh sb="0" eb="2">
      <t>フゾク</t>
    </rPh>
    <rPh sb="2" eb="4">
      <t>ビヒン</t>
    </rPh>
    <phoneticPr fontId="1"/>
  </si>
  <si>
    <t>付属備品2</t>
    <rPh sb="0" eb="2">
      <t>フゾク</t>
    </rPh>
    <rPh sb="2" eb="4">
      <t>ビヒン</t>
    </rPh>
    <phoneticPr fontId="1"/>
  </si>
  <si>
    <t>付属備品3</t>
    <rPh sb="0" eb="2">
      <t>フゾク</t>
    </rPh>
    <rPh sb="2" eb="4">
      <t>ビヒン</t>
    </rPh>
    <phoneticPr fontId="1"/>
  </si>
  <si>
    <t>付属備品4</t>
    <rPh sb="0" eb="2">
      <t>フゾク</t>
    </rPh>
    <rPh sb="2" eb="4">
      <t>ビヒン</t>
    </rPh>
    <phoneticPr fontId="1"/>
  </si>
  <si>
    <t>付属備品5</t>
    <rPh sb="0" eb="2">
      <t>フゾク</t>
    </rPh>
    <rPh sb="2" eb="4">
      <t>ビヒン</t>
    </rPh>
    <phoneticPr fontId="1"/>
  </si>
  <si>
    <t>付属備品6</t>
    <rPh sb="0" eb="2">
      <t>フゾク</t>
    </rPh>
    <rPh sb="2" eb="4">
      <t>ビヒン</t>
    </rPh>
    <phoneticPr fontId="1"/>
  </si>
  <si>
    <t>1台目</t>
    <rPh sb="1" eb="3">
      <t>ダイメ</t>
    </rPh>
    <phoneticPr fontId="1"/>
  </si>
  <si>
    <t>2台目</t>
    <rPh sb="1" eb="3">
      <t>ダイメ</t>
    </rPh>
    <phoneticPr fontId="1"/>
  </si>
  <si>
    <t>品目</t>
    <rPh sb="0" eb="2">
      <t>ヒンモク</t>
    </rPh>
    <phoneticPr fontId="1"/>
  </si>
  <si>
    <t>個別判定</t>
    <rPh sb="0" eb="2">
      <t>コベツ</t>
    </rPh>
    <rPh sb="2" eb="4">
      <t>ハンテイ</t>
    </rPh>
    <phoneticPr fontId="1"/>
  </si>
  <si>
    <t>コメント</t>
    <phoneticPr fontId="1"/>
  </si>
  <si>
    <t>判定</t>
    <rPh sb="0" eb="2">
      <t>ハンテイ</t>
    </rPh>
    <phoneticPr fontId="1"/>
  </si>
  <si>
    <t>総合判定</t>
    <rPh sb="0" eb="2">
      <t>ソウゴウ</t>
    </rPh>
    <rPh sb="2" eb="4">
      <t>ハンテイ</t>
    </rPh>
    <phoneticPr fontId="1"/>
  </si>
  <si>
    <t>個別項目</t>
    <rPh sb="0" eb="2">
      <t>コベツ</t>
    </rPh>
    <rPh sb="2" eb="4">
      <t>コウモク</t>
    </rPh>
    <phoneticPr fontId="1"/>
  </si>
  <si>
    <t>本体</t>
    <rPh sb="0" eb="2">
      <t>ホンタイ</t>
    </rPh>
    <phoneticPr fontId="1"/>
  </si>
  <si>
    <t>付属備品1</t>
    <rPh sb="0" eb="2">
      <t>フゾク</t>
    </rPh>
    <rPh sb="2" eb="4">
      <t>ビヒン</t>
    </rPh>
    <phoneticPr fontId="1"/>
  </si>
  <si>
    <t>付属備品2</t>
    <rPh sb="0" eb="2">
      <t>フゾク</t>
    </rPh>
    <rPh sb="2" eb="4">
      <t>ビヒン</t>
    </rPh>
    <phoneticPr fontId="1"/>
  </si>
  <si>
    <t>付属備品3</t>
    <rPh sb="0" eb="2">
      <t>フゾク</t>
    </rPh>
    <rPh sb="2" eb="4">
      <t>ビヒン</t>
    </rPh>
    <phoneticPr fontId="1"/>
  </si>
  <si>
    <t>付属備品5</t>
    <rPh sb="0" eb="2">
      <t>フゾク</t>
    </rPh>
    <rPh sb="2" eb="4">
      <t>ビヒン</t>
    </rPh>
    <phoneticPr fontId="1"/>
  </si>
  <si>
    <t>分析件数</t>
    <rPh sb="0" eb="2">
      <t>ブンセキ</t>
    </rPh>
    <rPh sb="2" eb="4">
      <t>ケンスウ</t>
    </rPh>
    <phoneticPr fontId="1"/>
  </si>
  <si>
    <t>付属備品6</t>
    <rPh sb="0" eb="2">
      <t>フゾク</t>
    </rPh>
    <rPh sb="2" eb="4">
      <t>ビヒン</t>
    </rPh>
    <phoneticPr fontId="1"/>
  </si>
  <si>
    <t>付属備品7</t>
    <rPh sb="0" eb="2">
      <t>フゾク</t>
    </rPh>
    <rPh sb="2" eb="4">
      <t>ビヒン</t>
    </rPh>
    <phoneticPr fontId="1"/>
  </si>
  <si>
    <t>入力状況</t>
    <rPh sb="0" eb="2">
      <t>ニュウリョク</t>
    </rPh>
    <rPh sb="2" eb="4">
      <t>ジョウキョウ</t>
    </rPh>
    <phoneticPr fontId="1"/>
  </si>
  <si>
    <t>項　目</t>
    <rPh sb="0" eb="1">
      <t>コウ</t>
    </rPh>
    <rPh sb="2" eb="3">
      <t>メ</t>
    </rPh>
    <phoneticPr fontId="1"/>
  </si>
  <si>
    <t>【入力状況】</t>
    <rPh sb="1" eb="3">
      <t>ニュウリョク</t>
    </rPh>
    <rPh sb="3" eb="5">
      <t>ジョウキョウ</t>
    </rPh>
    <phoneticPr fontId="1"/>
  </si>
  <si>
    <t>振込先通帳写し　貼り付け用台紙
令和４年度　新型コロナウイルス感染症検査機関等設備整備費補助金</t>
    <rPh sb="0" eb="3">
      <t>フリコミサキ</t>
    </rPh>
    <rPh sb="3" eb="5">
      <t>ツウチョウ</t>
    </rPh>
    <rPh sb="5" eb="6">
      <t>ウツ</t>
    </rPh>
    <rPh sb="8" eb="9">
      <t>ハ</t>
    </rPh>
    <rPh sb="10" eb="11">
      <t>ツ</t>
    </rPh>
    <rPh sb="12" eb="13">
      <t>ヨウ</t>
    </rPh>
    <rPh sb="13" eb="15">
      <t>ダイシ</t>
    </rPh>
    <rPh sb="34" eb="36">
      <t>ケンサ</t>
    </rPh>
    <rPh sb="36" eb="38">
      <t>キカン</t>
    </rPh>
    <rPh sb="38" eb="39">
      <t>トウ</t>
    </rPh>
    <phoneticPr fontId="16"/>
  </si>
  <si>
    <t>申請年月日</t>
    <rPh sb="0" eb="2">
      <t>シンセイ</t>
    </rPh>
    <rPh sb="2" eb="5">
      <t>ネンガッピ</t>
    </rPh>
    <phoneticPr fontId="1"/>
  </si>
  <si>
    <t>申請額</t>
    <rPh sb="0" eb="2">
      <t>シンセイ</t>
    </rPh>
    <rPh sb="2" eb="3">
      <t>ガク</t>
    </rPh>
    <phoneticPr fontId="1"/>
  </si>
  <si>
    <t>R4検査機関等設備整備費補助金</t>
    <rPh sb="2" eb="4">
      <t>ケンサ</t>
    </rPh>
    <rPh sb="4" eb="6">
      <t>キカン</t>
    </rPh>
    <rPh sb="6" eb="7">
      <t>トウ</t>
    </rPh>
    <rPh sb="7" eb="9">
      <t>セツビ</t>
    </rPh>
    <rPh sb="9" eb="12">
      <t>セイビヒ</t>
    </rPh>
    <rPh sb="12" eb="15">
      <t>ホジョキン</t>
    </rPh>
    <phoneticPr fontId="1"/>
  </si>
  <si>
    <t>↘</t>
    <phoneticPr fontId="1"/>
  </si>
  <si>
    <t>※納品書、請求書等の参考となる資料を添付すること。</t>
    <rPh sb="1" eb="4">
      <t>ノウヒンショ</t>
    </rPh>
    <rPh sb="5" eb="8">
      <t>セイキュウショ</t>
    </rPh>
    <rPh sb="8" eb="9">
      <t>トウ</t>
    </rPh>
    <rPh sb="10" eb="12">
      <t>サンコウ</t>
    </rPh>
    <rPh sb="15" eb="17">
      <t>シリョウ</t>
    </rPh>
    <rPh sb="18" eb="20">
      <t>テンプ</t>
    </rPh>
    <phoneticPr fontId="1"/>
  </si>
  <si>
    <t>令和　　年　　月　　日　</t>
    <phoneticPr fontId="1"/>
  </si>
  <si>
    <t>　　愛知県知事　殿</t>
    <rPh sb="2" eb="5">
      <t>アイチケン</t>
    </rPh>
    <rPh sb="5" eb="7">
      <t>チジ</t>
    </rPh>
    <rPh sb="8" eb="9">
      <t>ドノ</t>
    </rPh>
    <phoneticPr fontId="1"/>
  </si>
  <si>
    <t>住所</t>
    <rPh sb="0" eb="2">
      <t>ジュウショ</t>
    </rPh>
    <phoneticPr fontId="1"/>
  </si>
  <si>
    <t>請　求　書</t>
    <rPh sb="0" eb="1">
      <t>ショウ</t>
    </rPh>
    <rPh sb="2" eb="3">
      <t>モトム</t>
    </rPh>
    <rPh sb="4" eb="5">
      <t>ショ</t>
    </rPh>
    <phoneticPr fontId="1"/>
  </si>
  <si>
    <t>１．請求金額</t>
    <rPh sb="2" eb="4">
      <t>セイキュウ</t>
    </rPh>
    <rPh sb="4" eb="6">
      <t>キンガク</t>
    </rPh>
    <phoneticPr fontId="1"/>
  </si>
  <si>
    <t>２．振込先口座</t>
    <rPh sb="2" eb="5">
      <t>フリコミサキ</t>
    </rPh>
    <rPh sb="5" eb="7">
      <t>コウザ</t>
    </rPh>
    <phoneticPr fontId="1"/>
  </si>
  <si>
    <t>金融機関名</t>
    <rPh sb="0" eb="2">
      <t>キンユウ</t>
    </rPh>
    <rPh sb="2" eb="4">
      <t>キカン</t>
    </rPh>
    <rPh sb="4" eb="5">
      <t>メイ</t>
    </rPh>
    <phoneticPr fontId="1"/>
  </si>
  <si>
    <t>口座種別</t>
    <rPh sb="0" eb="2">
      <t>コウザ</t>
    </rPh>
    <rPh sb="2" eb="4">
      <t>シュベツ</t>
    </rPh>
    <phoneticPr fontId="1"/>
  </si>
  <si>
    <t>番号</t>
    <rPh sb="0" eb="2">
      <t>バンゴウ</t>
    </rPh>
    <phoneticPr fontId="1"/>
  </si>
  <si>
    <t>申請金額</t>
    <rPh sb="0" eb="2">
      <t>シンセイ</t>
    </rPh>
    <rPh sb="2" eb="4">
      <t>キンガク</t>
    </rPh>
    <phoneticPr fontId="1"/>
  </si>
  <si>
    <t>総事業費</t>
    <rPh sb="0" eb="4">
      <t>ソウジギョウヒ</t>
    </rPh>
    <phoneticPr fontId="1"/>
  </si>
  <si>
    <t>寄付金等</t>
    <rPh sb="0" eb="3">
      <t>キフキン</t>
    </rPh>
    <rPh sb="3" eb="4">
      <t>トウ</t>
    </rPh>
    <phoneticPr fontId="1"/>
  </si>
  <si>
    <t>差引</t>
    <rPh sb="0" eb="2">
      <t>サシヒキ</t>
    </rPh>
    <phoneticPr fontId="1"/>
  </si>
  <si>
    <t>支出予定額</t>
    <rPh sb="0" eb="2">
      <t>シシュツ</t>
    </rPh>
    <rPh sb="2" eb="4">
      <t>ヨテイ</t>
    </rPh>
    <rPh sb="4" eb="5">
      <t>ガク</t>
    </rPh>
    <phoneticPr fontId="1"/>
  </si>
  <si>
    <t>基準額</t>
    <rPh sb="0" eb="2">
      <t>キジュン</t>
    </rPh>
    <rPh sb="2" eb="3">
      <t>ガク</t>
    </rPh>
    <phoneticPr fontId="1"/>
  </si>
  <si>
    <t>選定額</t>
    <rPh sb="0" eb="2">
      <t>センテイ</t>
    </rPh>
    <rPh sb="2" eb="3">
      <t>ガク</t>
    </rPh>
    <phoneticPr fontId="1"/>
  </si>
  <si>
    <t>県補助基本額</t>
    <rPh sb="0" eb="1">
      <t>ケン</t>
    </rPh>
    <rPh sb="1" eb="3">
      <t>ホジョ</t>
    </rPh>
    <rPh sb="3" eb="5">
      <t>キホン</t>
    </rPh>
    <rPh sb="5" eb="6">
      <t>ガク</t>
    </rPh>
    <phoneticPr fontId="1"/>
  </si>
  <si>
    <t>補助額</t>
    <rPh sb="0" eb="2">
      <t>ホジョ</t>
    </rPh>
    <rPh sb="2" eb="3">
      <t>ガク</t>
    </rPh>
    <phoneticPr fontId="1"/>
  </si>
  <si>
    <t>品目①</t>
    <rPh sb="0" eb="2">
      <t>ヒンモク</t>
    </rPh>
    <phoneticPr fontId="1"/>
  </si>
  <si>
    <t>分析可能件数</t>
    <rPh sb="0" eb="2">
      <t>ブンセキ</t>
    </rPh>
    <rPh sb="2" eb="4">
      <t>カノウ</t>
    </rPh>
    <rPh sb="4" eb="6">
      <t>ケンスウ</t>
    </rPh>
    <phoneticPr fontId="1"/>
  </si>
  <si>
    <t>品目②</t>
    <rPh sb="0" eb="2">
      <t>ヒンモク</t>
    </rPh>
    <phoneticPr fontId="1"/>
  </si>
  <si>
    <t>金融機関</t>
    <rPh sb="0" eb="2">
      <t>キンユウ</t>
    </rPh>
    <rPh sb="2" eb="4">
      <t>キカン</t>
    </rPh>
    <phoneticPr fontId="1"/>
  </si>
  <si>
    <t>口座種別</t>
    <rPh sb="0" eb="2">
      <t>コウザ</t>
    </rPh>
    <rPh sb="2" eb="4">
      <t>シュベツ</t>
    </rPh>
    <phoneticPr fontId="2"/>
  </si>
  <si>
    <t>等温遺伝子増幅装置</t>
  </si>
  <si>
    <t>－</t>
  </si>
  <si>
    <t>岡崎信用金庫</t>
  </si>
  <si>
    <t>名東支店</t>
  </si>
  <si>
    <t>岐阜信用金庫</t>
  </si>
  <si>
    <t>香流橋支店</t>
  </si>
  <si>
    <t>愛知銀行</t>
  </si>
  <si>
    <t>三郷支店</t>
  </si>
  <si>
    <t>名古屋銀行</t>
  </si>
  <si>
    <t>碧南支店</t>
  </si>
  <si>
    <t>三十三銀行</t>
  </si>
  <si>
    <t>新郊通支店</t>
  </si>
  <si>
    <t>大垣共立銀行</t>
  </si>
  <si>
    <t>守山支店</t>
  </si>
  <si>
    <t>三菱ＵＦＪ銀行</t>
  </si>
  <si>
    <t>名古屋営業部</t>
  </si>
  <si>
    <t>高浜支店</t>
  </si>
  <si>
    <t>リアルタイムPCR</t>
  </si>
  <si>
    <t>大曽根支店</t>
  </si>
  <si>
    <t>天白原駅前支店</t>
  </si>
  <si>
    <t>知多信用金庫</t>
  </si>
  <si>
    <t>栄町支店</t>
  </si>
  <si>
    <t>百五銀行</t>
  </si>
  <si>
    <t>黒川支店</t>
  </si>
  <si>
    <t>十六銀行</t>
  </si>
  <si>
    <t>一宮支店</t>
  </si>
  <si>
    <t>いちい信用金庫</t>
  </si>
  <si>
    <t>師勝支店</t>
  </si>
  <si>
    <t>全自動化学発光酵素免疫測定装置</t>
  </si>
  <si>
    <t>柴田支店</t>
  </si>
  <si>
    <t>植田支店</t>
  </si>
  <si>
    <t>碧海信用金庫</t>
  </si>
  <si>
    <t>本店営業部</t>
  </si>
  <si>
    <t>猪子石支店</t>
  </si>
  <si>
    <t>知立支店</t>
  </si>
  <si>
    <t>住信ＳＢＩネット銀行</t>
  </si>
  <si>
    <t>イチゴ支店</t>
  </si>
  <si>
    <t>勝川支店</t>
  </si>
  <si>
    <t>池浦支店</t>
  </si>
  <si>
    <t>大高支店</t>
  </si>
  <si>
    <t>野並支店</t>
  </si>
  <si>
    <t>小田井支店</t>
  </si>
  <si>
    <t>犬山支店</t>
  </si>
  <si>
    <t>刈谷支店</t>
  </si>
  <si>
    <t>八事支店</t>
  </si>
  <si>
    <t>東江南支店</t>
  </si>
  <si>
    <t>鳴海東支店</t>
  </si>
  <si>
    <t>内田橋支店</t>
  </si>
  <si>
    <t>緑支店</t>
  </si>
  <si>
    <t>中村支店</t>
  </si>
  <si>
    <t>稲沢支店</t>
  </si>
  <si>
    <t>尾西信用金庫</t>
  </si>
  <si>
    <t>公園通支店</t>
  </si>
  <si>
    <t>滝子支店</t>
  </si>
  <si>
    <t>加木屋支店</t>
  </si>
  <si>
    <t>六名支店</t>
  </si>
  <si>
    <t>安城支店</t>
  </si>
  <si>
    <t>春日井支店</t>
  </si>
  <si>
    <t>枇杷島支店</t>
  </si>
  <si>
    <t>中京銀行</t>
  </si>
  <si>
    <t>清水支店</t>
  </si>
  <si>
    <t>上前津支店</t>
  </si>
  <si>
    <t>長久手支店</t>
  </si>
  <si>
    <t>桜井支店</t>
  </si>
  <si>
    <t>石川橋支店</t>
  </si>
  <si>
    <t>鳴海支店</t>
  </si>
  <si>
    <t>豊田信用金庫</t>
  </si>
  <si>
    <t>保見支店</t>
  </si>
  <si>
    <t>岡崎支店</t>
  </si>
  <si>
    <t>瀬戸信用金庫</t>
  </si>
  <si>
    <t>四軒家支店</t>
  </si>
  <si>
    <t>西山支店</t>
  </si>
  <si>
    <t>陣中支店</t>
  </si>
  <si>
    <t>東野支店</t>
  </si>
  <si>
    <t>みよし支店</t>
  </si>
  <si>
    <t>楠町支店</t>
  </si>
  <si>
    <t>平針支店</t>
  </si>
  <si>
    <t>一宮東支店</t>
  </si>
  <si>
    <t>大府支店</t>
  </si>
  <si>
    <t>一ツ木支店</t>
  </si>
  <si>
    <t>岩津支店</t>
  </si>
  <si>
    <t>豊川信用金庫</t>
  </si>
  <si>
    <t>三井住友銀行</t>
  </si>
  <si>
    <t>天白植田支店</t>
  </si>
  <si>
    <t>猿投支店</t>
  </si>
  <si>
    <t>今村支店</t>
  </si>
  <si>
    <t>りそな銀行</t>
  </si>
  <si>
    <t>名古屋駅前支店</t>
  </si>
  <si>
    <t>江南支店</t>
  </si>
  <si>
    <t>豊明北支店</t>
  </si>
  <si>
    <t>名古屋支店</t>
  </si>
  <si>
    <t>愛知県中央信用組合</t>
  </si>
  <si>
    <t>覚王山支店</t>
  </si>
  <si>
    <t>弥富支店</t>
  </si>
  <si>
    <t>半田支店</t>
  </si>
  <si>
    <t>赤池支店</t>
  </si>
  <si>
    <t>富吉支店</t>
  </si>
  <si>
    <t>代官町支店</t>
  </si>
  <si>
    <t>金山支店</t>
  </si>
  <si>
    <t>藤ヶ丘支店</t>
  </si>
  <si>
    <t>美合支店</t>
  </si>
  <si>
    <t>新瑞橋支店</t>
  </si>
  <si>
    <t>南陽町支店</t>
  </si>
  <si>
    <t>有松支店</t>
  </si>
  <si>
    <t>戸田支店</t>
  </si>
  <si>
    <t>美和支店</t>
  </si>
  <si>
    <t>木曽川支店</t>
  </si>
  <si>
    <t>東刈谷支店</t>
  </si>
  <si>
    <t>豊田支店</t>
  </si>
  <si>
    <t>東海支店</t>
  </si>
  <si>
    <t>枇杷島通支店</t>
  </si>
  <si>
    <t>城北支店</t>
  </si>
  <si>
    <t>西春支店</t>
  </si>
  <si>
    <t>天白信用農業協同組合</t>
  </si>
  <si>
    <t>本店</t>
  </si>
  <si>
    <t>小牧支店</t>
  </si>
  <si>
    <t>星が丘支店</t>
  </si>
  <si>
    <t>港支店</t>
  </si>
  <si>
    <t>井田支店</t>
  </si>
  <si>
    <t>蒲郡信用金庫</t>
  </si>
  <si>
    <t>東田支店</t>
  </si>
  <si>
    <t>松葉町支店</t>
  </si>
  <si>
    <t>六番町支店</t>
  </si>
  <si>
    <t>豊橋支店</t>
  </si>
  <si>
    <t>東郷支店</t>
  </si>
  <si>
    <t>緑信用農業協同組合</t>
  </si>
  <si>
    <t>上郷支店</t>
  </si>
  <si>
    <t>西尾信用金庫</t>
  </si>
  <si>
    <t>浄心支店</t>
  </si>
  <si>
    <t>三好北支店</t>
  </si>
  <si>
    <t>当知支店</t>
  </si>
  <si>
    <t>池上支店</t>
  </si>
  <si>
    <t>冨田支店</t>
  </si>
  <si>
    <t>愛知西農業協同組合</t>
  </si>
  <si>
    <t>下津支店</t>
  </si>
  <si>
    <t>平田支店</t>
  </si>
  <si>
    <t>豊田南支店</t>
  </si>
  <si>
    <t>天白支店</t>
  </si>
  <si>
    <t>藤が丘支店</t>
  </si>
  <si>
    <t>尾張新川支店</t>
  </si>
  <si>
    <t>高蔵寺支店</t>
  </si>
  <si>
    <t>矢作支店</t>
  </si>
  <si>
    <t>みずほ銀行</t>
  </si>
  <si>
    <t>中日信用金庫</t>
  </si>
  <si>
    <t>日進支店</t>
  </si>
  <si>
    <t>次世代シークエンサー</t>
  </si>
  <si>
    <t>東海公務部</t>
  </si>
  <si>
    <t>中央支店</t>
  </si>
  <si>
    <t>大森支店</t>
  </si>
  <si>
    <t>梅森支店</t>
  </si>
  <si>
    <t>尾張旭支店</t>
  </si>
  <si>
    <t>安田通支店</t>
  </si>
  <si>
    <t>知立南支店</t>
  </si>
  <si>
    <t>池下支店</t>
  </si>
  <si>
    <t>尾西支店</t>
  </si>
  <si>
    <t>東春信用金庫</t>
  </si>
  <si>
    <t>瀬戸支店</t>
  </si>
  <si>
    <t>半田信用金庫</t>
  </si>
  <si>
    <t>新居支店</t>
  </si>
  <si>
    <t>豊田美里支店</t>
  </si>
  <si>
    <t>静岡銀行</t>
  </si>
  <si>
    <t>有玉支店</t>
  </si>
  <si>
    <t>一社支店</t>
  </si>
  <si>
    <t>東境支店</t>
  </si>
  <si>
    <t>本地ケ原支店</t>
  </si>
  <si>
    <t>奥町支店</t>
  </si>
  <si>
    <t>一宮南支店</t>
  </si>
  <si>
    <t>熱田支店</t>
  </si>
  <si>
    <t>堀田支店</t>
  </si>
  <si>
    <t>大津町支店</t>
  </si>
  <si>
    <t>上社支店</t>
  </si>
  <si>
    <t>塩釜口支店</t>
  </si>
  <si>
    <t>大府西支店</t>
  </si>
  <si>
    <t>豊明支店</t>
  </si>
  <si>
    <t>名古屋中央支店</t>
  </si>
  <si>
    <t>名古屋港支店</t>
  </si>
  <si>
    <t>高橋支店</t>
  </si>
  <si>
    <t>ＰａｙＰａｙ銀行</t>
  </si>
  <si>
    <t>ビジネス営業部</t>
  </si>
  <si>
    <t>サンライズ支店</t>
  </si>
  <si>
    <t>普通</t>
  </si>
  <si>
    <t>当座</t>
  </si>
  <si>
    <t>交付決定日</t>
    <rPh sb="0" eb="2">
      <t>コウフ</t>
    </rPh>
    <rPh sb="2" eb="4">
      <t>ケッテイ</t>
    </rPh>
    <rPh sb="4" eb="5">
      <t>ビ</t>
    </rPh>
    <phoneticPr fontId="1"/>
  </si>
  <si>
    <t>変更申請期間</t>
    <rPh sb="0" eb="2">
      <t>ヘンコウ</t>
    </rPh>
    <rPh sb="2" eb="4">
      <t>シンセイ</t>
    </rPh>
    <rPh sb="4" eb="6">
      <t>キカン</t>
    </rPh>
    <phoneticPr fontId="1"/>
  </si>
  <si>
    <t>号</t>
    <rPh sb="0" eb="1">
      <t>ゴウ</t>
    </rPh>
    <phoneticPr fontId="1"/>
  </si>
  <si>
    <t>起</t>
    <rPh sb="0" eb="1">
      <t>キ</t>
    </rPh>
    <phoneticPr fontId="1"/>
  </si>
  <si>
    <t>終</t>
    <rPh sb="0" eb="1">
      <t>シュウ</t>
    </rPh>
    <phoneticPr fontId="1"/>
  </si>
  <si>
    <t>手続種別</t>
    <rPh sb="0" eb="2">
      <t>テツヅ</t>
    </rPh>
    <rPh sb="2" eb="4">
      <t>シュベツ</t>
    </rPh>
    <phoneticPr fontId="1"/>
  </si>
  <si>
    <t>国事業完了日</t>
    <rPh sb="0" eb="1">
      <t>クニ</t>
    </rPh>
    <rPh sb="1" eb="3">
      <t>ジギョウ</t>
    </rPh>
    <rPh sb="3" eb="5">
      <t>カンリョウ</t>
    </rPh>
    <rPh sb="5" eb="6">
      <t>ビ</t>
    </rPh>
    <phoneticPr fontId="1"/>
  </si>
  <si>
    <t>当初受付</t>
    <rPh sb="0" eb="2">
      <t>トウショ</t>
    </rPh>
    <rPh sb="2" eb="4">
      <t>ウケツケ</t>
    </rPh>
    <phoneticPr fontId="1"/>
  </si>
  <si>
    <t>事業完了予定日</t>
  </si>
  <si>
    <t>年</t>
    <rPh sb="0" eb="1">
      <t>ネン</t>
    </rPh>
    <phoneticPr fontId="1"/>
  </si>
  <si>
    <t>月</t>
    <rPh sb="0" eb="1">
      <t>ツキ</t>
    </rPh>
    <phoneticPr fontId="1"/>
  </si>
  <si>
    <t>日</t>
    <rPh sb="0" eb="1">
      <t>ヒ</t>
    </rPh>
    <phoneticPr fontId="1"/>
  </si>
  <si>
    <t>判定</t>
    <rPh sb="0" eb="2">
      <t>ハンテイ</t>
    </rPh>
    <phoneticPr fontId="1"/>
  </si>
  <si>
    <t>コメント</t>
    <phoneticPr fontId="1"/>
  </si>
  <si>
    <t>植田支店</t>
    <rPh sb="0" eb="2">
      <t>ウエダ</t>
    </rPh>
    <rPh sb="2" eb="4">
      <t>シテン</t>
    </rPh>
    <phoneticPr fontId="1"/>
  </si>
  <si>
    <t>　令和４年度愛知県新型コロナウイルス感染症検査機関等設備整備費補助金について、下記の金額を請求します。なお、支払は下記の口座に振り込んでください。</t>
    <rPh sb="21" eb="23">
      <t>ケンサ</t>
    </rPh>
    <rPh sb="23" eb="25">
      <t>キカン</t>
    </rPh>
    <rPh sb="25" eb="26">
      <t>トウ</t>
    </rPh>
    <rPh sb="39" eb="41">
      <t>カキ</t>
    </rPh>
    <rPh sb="57" eb="59">
      <t>カキ</t>
    </rPh>
    <phoneticPr fontId="1"/>
  </si>
  <si>
    <t>岐阜信用金庫</t>
    <phoneticPr fontId="1"/>
  </si>
  <si>
    <t>江南支店</t>
    <phoneticPr fontId="1"/>
  </si>
  <si>
    <t>豊橋信用金庫</t>
    <phoneticPr fontId="1"/>
  </si>
  <si>
    <t>南栄支店</t>
    <phoneticPr fontId="1"/>
  </si>
  <si>
    <t>当座</t>
    <phoneticPr fontId="1"/>
  </si>
  <si>
    <t>和泉支店</t>
  </si>
  <si>
    <t>三菱UFJ</t>
  </si>
  <si>
    <t>津島</t>
  </si>
  <si>
    <t>鵜沼支店</t>
  </si>
  <si>
    <t>東支店</t>
  </si>
  <si>
    <t>笠寺支店</t>
  </si>
  <si>
    <t>三菱UFJ信託銀行</t>
  </si>
  <si>
    <t>今池支店</t>
  </si>
  <si>
    <t>国府支店</t>
  </si>
  <si>
    <t>住信SBIネット銀行</t>
  </si>
  <si>
    <t>リンゴ支店</t>
  </si>
  <si>
    <t>三菱東京UFJ銀行</t>
  </si>
  <si>
    <t>徳重支店</t>
  </si>
  <si>
    <t>東濃信用金庫</t>
  </si>
  <si>
    <t>柳橋支店</t>
  </si>
  <si>
    <t/>
  </si>
  <si>
    <t>三菱ＵＦＪ銀行</t>
    <phoneticPr fontId="1"/>
  </si>
  <si>
    <t>４感対第○○○○－</t>
    <rPh sb="1" eb="2">
      <t>カン</t>
    </rPh>
    <rPh sb="2" eb="3">
      <t>タイ</t>
    </rPh>
    <rPh sb="3" eb="4">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</si>
</sst>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Red]\(#,##0\)"/>
    <numFmt numFmtId="177" formatCode="[$-411]ggge&quot;年&quot;m&quot;月&quot;d&quot;日&quot;;@"/>
    <numFmt numFmtId="178" formatCode="#,##0&quot;円&quot;;[Red]\(#,##0\)&quot;円&quot;"/>
    <numFmt numFmtId="179" formatCode="#,##0&quot;円&quot;"/>
    <numFmt numFmtId="180" formatCode="#,##0&quot;台&quot;"/>
    <numFmt numFmtId="181" formatCode="#,##0&quot;件&quot;"/>
    <numFmt numFmtId="182" formatCode="0&quot;件&quot;"/>
    <numFmt numFmtId="183" formatCode="#,##0&quot;円&quot;\ "/>
    <numFmt numFmtId="184" formatCode="#,##0&quot;日&quot;"/>
    <numFmt numFmtId="185" formatCode="\1&quot;日&quot;&quot;あ&quot;&quot;た&quot;&quot;り&quot;#,##0.0&quot;件&quot;"/>
    <numFmt numFmtId="186" formatCode="#,##0.0&quot;件&quot;"/>
    <numFmt numFmtId="187" formatCode="&quot;金&quot;#,##0&quot;円&quot;"/>
    <numFmt numFmtId="188" formatCode="&quot;金&quot;#,##0&quot;円&quot;;&quot;金&quot;&quot;△ &quot;#,##0&quot;円&quot;"/>
    <numFmt numFmtId="189" formatCode="\(#,##0&quot;円&quot;\)"/>
    <numFmt numFmtId="190" formatCode="\4&quot;感&quot;&quot;対&quot;&quot;第1410－&quot;0&quot;号&quot;\ "/>
    <numFmt numFmtId="191" formatCode="&quot;検&quot;&quot;査&quot;&quot;第&quot;0&quot;号&quot;"/>
    <numFmt numFmtId="192" formatCode="&quot;検&quot;&quot;査&quot;&quot;第&quot;0&quot;号&quot;\ "/>
  </numFmts>
  <fonts count="4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u/>
      <sz val="11"/>
      <color theme="10"/>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6"/>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b/>
      <u val="double"/>
      <sz val="14"/>
      <color rgb="FFFF0000"/>
      <name val="游ゴシック"/>
      <family val="3"/>
      <charset val="128"/>
      <scheme val="minor"/>
    </font>
    <font>
      <b/>
      <sz val="12"/>
      <name val="游ゴシック"/>
      <family val="3"/>
      <charset val="128"/>
      <scheme val="minor"/>
    </font>
    <font>
      <b/>
      <sz val="14"/>
      <color theme="1"/>
      <name val="游ゴシック"/>
      <family val="3"/>
      <charset val="128"/>
      <scheme val="minor"/>
    </font>
    <font>
      <b/>
      <sz val="6"/>
      <color theme="1"/>
      <name val="游ゴシック"/>
      <family val="3"/>
      <charset val="128"/>
      <scheme val="minor"/>
    </font>
    <font>
      <sz val="12"/>
      <color rgb="FFFF0000"/>
      <name val="游ゴシック"/>
      <family val="3"/>
      <charset val="128"/>
      <scheme val="minor"/>
    </font>
    <font>
      <b/>
      <u/>
      <sz val="16"/>
      <color rgb="FFFF0000"/>
      <name val="游ゴシック"/>
      <family val="3"/>
      <charset val="128"/>
      <scheme val="minor"/>
    </font>
    <font>
      <sz val="36"/>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1"/>
      <name val="游ゴシック"/>
      <family val="3"/>
      <charset val="128"/>
      <scheme val="minor"/>
    </font>
    <font>
      <b/>
      <sz val="9"/>
      <color rgb="FFFFFF00"/>
      <name val="游ゴシック"/>
      <family val="3"/>
      <charset val="128"/>
      <scheme val="minor"/>
    </font>
    <font>
      <b/>
      <sz val="11"/>
      <color rgb="FFFFFF00"/>
      <name val="游ゴシック"/>
      <family val="3"/>
      <charset val="128"/>
      <scheme val="minor"/>
    </font>
    <font>
      <b/>
      <sz val="11"/>
      <color rgb="FF444444"/>
      <name val="游ゴシック"/>
      <family val="3"/>
      <charset val="128"/>
      <scheme val="minor"/>
    </font>
    <font>
      <b/>
      <u/>
      <sz val="14"/>
      <color rgb="FFFF0000"/>
      <name val="游ゴシック"/>
      <family val="3"/>
      <charset val="128"/>
      <scheme val="minor"/>
    </font>
    <font>
      <b/>
      <u/>
      <sz val="11"/>
      <color theme="10"/>
      <name val="游ゴシック"/>
      <family val="3"/>
      <charset val="128"/>
      <scheme val="minor"/>
    </font>
    <font>
      <b/>
      <sz val="14"/>
      <name val="游ゴシック"/>
      <family val="3"/>
      <charset val="128"/>
      <scheme val="minor"/>
    </font>
    <font>
      <b/>
      <sz val="10.5"/>
      <name val="游ゴシック"/>
      <family val="3"/>
      <charset val="128"/>
      <scheme val="minor"/>
    </font>
    <font>
      <b/>
      <sz val="8"/>
      <color theme="1"/>
      <name val="游ゴシック"/>
      <family val="3"/>
      <charset val="128"/>
      <scheme val="minor"/>
    </font>
    <font>
      <sz val="8"/>
      <color theme="1"/>
      <name val="游ゴシック"/>
      <family val="3"/>
      <charset val="128"/>
      <scheme val="minor"/>
    </font>
    <font>
      <sz val="16"/>
      <color theme="1"/>
      <name val="游ゴシック"/>
      <family val="3"/>
      <charset val="128"/>
      <scheme val="minor"/>
    </font>
    <font>
      <b/>
      <sz val="9"/>
      <color theme="1"/>
      <name val="游ゴシック"/>
      <family val="3"/>
      <charset val="128"/>
      <scheme val="minor"/>
    </font>
    <font>
      <sz val="11"/>
      <name val="游ゴシック"/>
      <family val="3"/>
      <charset val="128"/>
      <scheme val="minor"/>
    </font>
    <font>
      <b/>
      <sz val="22"/>
      <color theme="1"/>
      <name val="游ゴシック"/>
      <family val="3"/>
      <charset val="128"/>
      <scheme val="minor"/>
    </font>
    <font>
      <sz val="22"/>
      <color theme="1"/>
      <name val="游ゴシック"/>
      <family val="3"/>
      <charset val="128"/>
      <scheme val="minor"/>
    </font>
    <font>
      <b/>
      <sz val="36"/>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FFFF99"/>
        <bgColor indexed="64"/>
      </patternFill>
    </fill>
    <fill>
      <patternFill patternType="solid">
        <fgColor theme="7" tint="0.79998168889431442"/>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auto="1"/>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right/>
      <top/>
      <bottom style="hair">
        <color auto="1"/>
      </bottom>
      <diagonal/>
    </border>
  </borders>
  <cellStyleXfs count="6">
    <xf numFmtId="0" fontId="0" fillId="0" borderId="0">
      <alignment vertical="center"/>
    </xf>
    <xf numFmtId="0" fontId="3" fillId="0" borderId="0" applyNumberForma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xf numFmtId="38" fontId="6" fillId="0" borderId="0" applyFont="0" applyFill="0" applyBorder="0" applyAlignment="0" applyProtection="0">
      <alignment vertical="center"/>
    </xf>
  </cellStyleXfs>
  <cellXfs count="654">
    <xf numFmtId="0" fontId="0" fillId="0" borderId="0" xfId="0">
      <alignment vertical="center"/>
    </xf>
    <xf numFmtId="0" fontId="9" fillId="0" borderId="0" xfId="0" applyFont="1">
      <alignment vertical="center"/>
    </xf>
    <xf numFmtId="0" fontId="22" fillId="0" borderId="0" xfId="0" applyFont="1">
      <alignment vertical="center"/>
    </xf>
    <xf numFmtId="0" fontId="22" fillId="0" borderId="0" xfId="0" applyFont="1" applyAlignment="1">
      <alignment horizontal="center" vertical="center"/>
    </xf>
    <xf numFmtId="14" fontId="22" fillId="0" borderId="0" xfId="0" applyNumberFormat="1" applyFont="1" applyAlignment="1">
      <alignment horizontal="center" vertical="center"/>
    </xf>
    <xf numFmtId="0" fontId="22" fillId="0" borderId="1" xfId="0" applyFont="1" applyBorder="1" applyAlignment="1">
      <alignment vertical="top" wrapText="1"/>
    </xf>
    <xf numFmtId="14" fontId="22" fillId="0" borderId="1" xfId="0" applyNumberFormat="1" applyFont="1" applyBorder="1" applyAlignment="1">
      <alignment horizontal="center" vertical="top" wrapText="1"/>
    </xf>
    <xf numFmtId="0" fontId="22" fillId="0" borderId="1" xfId="0" applyFont="1" applyBorder="1" applyAlignment="1">
      <alignment horizontal="center" vertical="top" wrapText="1"/>
    </xf>
    <xf numFmtId="179" fontId="22" fillId="0" borderId="1" xfId="0" applyNumberFormat="1" applyFont="1" applyBorder="1" applyAlignment="1">
      <alignment vertical="top" wrapText="1"/>
    </xf>
    <xf numFmtId="0" fontId="22" fillId="0" borderId="0" xfId="0" applyFont="1" applyAlignment="1">
      <alignment vertical="top" wrapText="1"/>
    </xf>
    <xf numFmtId="0" fontId="9" fillId="0" borderId="0" xfId="0" applyFont="1" applyAlignment="1">
      <alignment horizontal="center" vertical="center"/>
    </xf>
    <xf numFmtId="0" fontId="22" fillId="0" borderId="0" xfId="0" applyFont="1" applyAlignment="1">
      <alignment vertical="center" shrinkToFit="1"/>
    </xf>
    <xf numFmtId="0" fontId="22" fillId="0" borderId="1" xfId="0" applyFont="1" applyBorder="1" applyAlignment="1">
      <alignment horizontal="center" vertical="center" shrinkToFit="1"/>
    </xf>
    <xf numFmtId="0" fontId="22" fillId="0" borderId="0" xfId="0" applyFont="1" applyAlignment="1">
      <alignment horizontal="center" vertical="center" shrinkToFit="1"/>
    </xf>
    <xf numFmtId="180" fontId="22" fillId="0" borderId="1" xfId="0" applyNumberFormat="1" applyFont="1" applyBorder="1" applyAlignment="1">
      <alignment vertical="top" wrapText="1"/>
    </xf>
    <xf numFmtId="0" fontId="13" fillId="0" borderId="0" xfId="0" applyFont="1">
      <alignment vertical="center"/>
    </xf>
    <xf numFmtId="0" fontId="13" fillId="0" borderId="0" xfId="0" applyFont="1" applyAlignment="1">
      <alignment horizontal="center" vertical="center"/>
    </xf>
    <xf numFmtId="0" fontId="13" fillId="0" borderId="0" xfId="0" applyFont="1" applyFill="1">
      <alignment vertical="center"/>
    </xf>
    <xf numFmtId="0" fontId="13" fillId="0" borderId="1" xfId="0" applyFont="1" applyBorder="1">
      <alignment vertical="center"/>
    </xf>
    <xf numFmtId="0" fontId="21" fillId="0" borderId="0" xfId="0" applyFont="1">
      <alignment vertical="center"/>
    </xf>
    <xf numFmtId="0" fontId="26" fillId="0" borderId="0" xfId="0" applyFont="1">
      <alignment vertical="center"/>
    </xf>
    <xf numFmtId="0" fontId="9" fillId="0" borderId="0" xfId="0" applyFont="1" applyAlignment="1">
      <alignment vertical="center"/>
    </xf>
    <xf numFmtId="0" fontId="28" fillId="0" borderId="0" xfId="0" applyFont="1">
      <alignment vertical="center"/>
    </xf>
    <xf numFmtId="0" fontId="14" fillId="0" borderId="0" xfId="0" applyFont="1">
      <alignment vertical="center"/>
    </xf>
    <xf numFmtId="0" fontId="9" fillId="0" borderId="0" xfId="0" applyFont="1" applyBorder="1" applyAlignment="1" applyProtection="1"/>
    <xf numFmtId="0" fontId="21" fillId="0" borderId="0" xfId="0" applyFont="1" applyBorder="1" applyAlignment="1" applyProtection="1">
      <alignment vertical="center"/>
    </xf>
    <xf numFmtId="0" fontId="21" fillId="0" borderId="0" xfId="0" applyFont="1" applyFill="1" applyBorder="1" applyAlignment="1" applyProtection="1">
      <alignment horizontal="center" vertical="center" shrinkToFit="1"/>
    </xf>
    <xf numFmtId="0" fontId="9" fillId="0" borderId="0" xfId="0" applyFont="1" applyBorder="1" applyAlignment="1" applyProtection="1">
      <alignment vertical="center"/>
    </xf>
    <xf numFmtId="0" fontId="21" fillId="0" borderId="0" xfId="0" applyFont="1" applyAlignment="1" applyProtection="1"/>
    <xf numFmtId="0" fontId="34" fillId="4" borderId="21" xfId="0" applyFont="1" applyFill="1" applyBorder="1" applyAlignment="1" applyProtection="1">
      <alignment horizontal="center" vertical="center"/>
      <protection locked="0"/>
    </xf>
    <xf numFmtId="0" fontId="34" fillId="4" borderId="22" xfId="0" applyFont="1" applyFill="1" applyBorder="1" applyAlignment="1" applyProtection="1">
      <alignment horizontal="center" vertical="center"/>
      <protection locked="0"/>
    </xf>
    <xf numFmtId="0" fontId="34" fillId="4" borderId="23" xfId="0" applyFont="1" applyFill="1" applyBorder="1" applyAlignment="1" applyProtection="1">
      <alignment horizontal="center" vertical="center"/>
      <protection locked="0"/>
    </xf>
    <xf numFmtId="0" fontId="21" fillId="4" borderId="24" xfId="0" applyFont="1" applyFill="1" applyBorder="1" applyAlignment="1" applyProtection="1">
      <alignment horizontal="center" vertical="center" shrinkToFit="1"/>
      <protection locked="0"/>
    </xf>
    <xf numFmtId="0" fontId="21" fillId="4" borderId="25" xfId="0" applyFont="1" applyFill="1" applyBorder="1" applyAlignment="1" applyProtection="1">
      <alignment horizontal="center" vertical="center" shrinkToFit="1"/>
      <protection locked="0"/>
    </xf>
    <xf numFmtId="0" fontId="21" fillId="4" borderId="26" xfId="0" applyFont="1" applyFill="1" applyBorder="1" applyAlignment="1" applyProtection="1">
      <alignment horizontal="center" vertical="center" shrinkToFit="1"/>
      <protection locked="0"/>
    </xf>
    <xf numFmtId="182" fontId="0" fillId="0" borderId="11" xfId="0" applyNumberFormat="1" applyFill="1" applyBorder="1" applyAlignment="1">
      <alignment vertical="center"/>
    </xf>
    <xf numFmtId="182" fontId="0" fillId="0" borderId="0" xfId="0" applyNumberFormat="1" applyFill="1" applyBorder="1" applyAlignment="1">
      <alignment vertical="center"/>
    </xf>
    <xf numFmtId="0" fontId="28" fillId="0" borderId="0" xfId="2" applyFont="1" applyAlignment="1">
      <alignment vertical="center"/>
    </xf>
    <xf numFmtId="0" fontId="28" fillId="0" borderId="2" xfId="2" applyFont="1" applyBorder="1" applyAlignment="1">
      <alignment horizontal="right" vertical="center"/>
    </xf>
    <xf numFmtId="3" fontId="35" fillId="0" borderId="0" xfId="2" applyNumberFormat="1" applyFont="1" applyAlignment="1">
      <alignment horizontal="right" vertical="center"/>
    </xf>
    <xf numFmtId="0" fontId="28" fillId="0" borderId="8" xfId="2" applyFont="1" applyBorder="1" applyAlignment="1">
      <alignment horizontal="center" vertical="center"/>
    </xf>
    <xf numFmtId="0" fontId="35" fillId="0" borderId="0" xfId="2" applyFont="1" applyAlignment="1">
      <alignment horizontal="right" vertical="center"/>
    </xf>
    <xf numFmtId="3" fontId="35" fillId="0" borderId="0" xfId="2" applyNumberFormat="1" applyFont="1" applyAlignment="1">
      <alignment vertical="center"/>
    </xf>
    <xf numFmtId="3" fontId="28" fillId="0" borderId="0" xfId="2" applyNumberFormat="1" applyFont="1" applyAlignment="1">
      <alignment vertical="center"/>
    </xf>
    <xf numFmtId="0" fontId="22" fillId="0" borderId="0" xfId="0" applyFont="1" applyAlignment="1">
      <alignment vertical="center" wrapText="1"/>
    </xf>
    <xf numFmtId="0" fontId="21" fillId="0" borderId="0" xfId="0" applyFont="1" applyAlignment="1">
      <alignment horizontal="center" vertical="center"/>
    </xf>
    <xf numFmtId="0" fontId="22" fillId="0" borderId="1" xfId="0" applyFont="1" applyBorder="1" applyAlignment="1">
      <alignment horizontal="center" vertical="center" shrinkToFit="1"/>
    </xf>
    <xf numFmtId="0" fontId="0" fillId="0" borderId="1" xfId="0" applyBorder="1" applyAlignment="1">
      <alignment horizontal="center" vertical="center" shrinkToFit="1"/>
    </xf>
    <xf numFmtId="182" fontId="13" fillId="0" borderId="11" xfId="0" applyNumberFormat="1" applyFont="1" applyFill="1" applyBorder="1" applyAlignment="1">
      <alignment vertical="center"/>
    </xf>
    <xf numFmtId="0" fontId="22" fillId="0" borderId="0" xfId="0" applyFont="1" applyAlignment="1">
      <alignment horizontal="left" vertical="center"/>
    </xf>
    <xf numFmtId="0" fontId="22" fillId="0" borderId="1" xfId="0" applyFont="1" applyBorder="1" applyAlignment="1">
      <alignment horizontal="left" vertical="center" shrinkToFit="1"/>
    </xf>
    <xf numFmtId="0" fontId="22" fillId="0" borderId="0" xfId="0" applyFont="1" applyAlignment="1">
      <alignment horizontal="left" vertical="center" shrinkToFit="1"/>
    </xf>
    <xf numFmtId="0" fontId="22" fillId="0" borderId="1" xfId="0" applyFont="1" applyBorder="1" applyAlignment="1">
      <alignment horizontal="left" vertical="top" wrapText="1"/>
    </xf>
    <xf numFmtId="181" fontId="22" fillId="0" borderId="1" xfId="0" applyNumberFormat="1" applyFont="1" applyBorder="1" applyAlignment="1">
      <alignment vertical="top" wrapText="1"/>
    </xf>
    <xf numFmtId="0" fontId="13" fillId="0" borderId="0" xfId="0" applyFont="1" applyBorder="1" applyAlignment="1">
      <alignment vertical="center"/>
    </xf>
    <xf numFmtId="0" fontId="13" fillId="0" borderId="0" xfId="0" applyFont="1" applyBorder="1" applyAlignment="1">
      <alignment vertical="top" wrapText="1"/>
    </xf>
    <xf numFmtId="0" fontId="13" fillId="0" borderId="0" xfId="0" applyFont="1" applyBorder="1" applyAlignment="1">
      <alignment vertical="center" wrapText="1"/>
    </xf>
    <xf numFmtId="0" fontId="13" fillId="0" borderId="0" xfId="0" applyFont="1" applyBorder="1" applyAlignment="1" applyProtection="1">
      <alignment horizontal="center" vertical="center"/>
    </xf>
    <xf numFmtId="0" fontId="37" fillId="0" borderId="0" xfId="0" applyFont="1" applyAlignment="1">
      <alignment vertical="top" wrapText="1"/>
    </xf>
    <xf numFmtId="0" fontId="13" fillId="0" borderId="0" xfId="0" applyFont="1" applyBorder="1">
      <alignment vertical="center"/>
    </xf>
    <xf numFmtId="0" fontId="21" fillId="0" borderId="0" xfId="0" applyFont="1" applyBorder="1">
      <alignment vertical="center"/>
    </xf>
    <xf numFmtId="186" fontId="22" fillId="0" borderId="1" xfId="0" applyNumberFormat="1" applyFont="1" applyBorder="1" applyAlignment="1">
      <alignment vertical="top" wrapText="1"/>
    </xf>
    <xf numFmtId="0" fontId="9" fillId="0" borderId="0" xfId="0" applyFont="1" applyAlignment="1">
      <alignment vertical="center" wrapText="1"/>
    </xf>
    <xf numFmtId="0" fontId="13" fillId="0" borderId="1" xfId="0" applyFont="1" applyBorder="1" applyAlignment="1">
      <alignment horizontal="center" vertical="center" shrinkToFit="1"/>
    </xf>
    <xf numFmtId="0" fontId="13" fillId="0" borderId="0" xfId="0" applyFont="1" applyBorder="1" applyAlignment="1">
      <alignment horizontal="center" vertical="center"/>
    </xf>
    <xf numFmtId="0" fontId="0" fillId="0" borderId="0" xfId="0" applyBorder="1" applyAlignment="1">
      <alignment horizontal="center" vertical="center"/>
    </xf>
    <xf numFmtId="0" fontId="13" fillId="0" borderId="1" xfId="0" applyFont="1" applyBorder="1" applyAlignment="1">
      <alignment horizontal="center" vertical="center"/>
    </xf>
    <xf numFmtId="0" fontId="0" fillId="0" borderId="0" xfId="0" applyBorder="1" applyAlignment="1">
      <alignment vertical="center" wrapText="1"/>
    </xf>
    <xf numFmtId="0" fontId="0" fillId="0" borderId="11" xfId="0" applyBorder="1" applyAlignment="1">
      <alignment vertical="center"/>
    </xf>
    <xf numFmtId="0" fontId="13" fillId="0" borderId="0" xfId="0" applyFont="1" applyAlignment="1">
      <alignment vertical="center"/>
    </xf>
    <xf numFmtId="0" fontId="26" fillId="0" borderId="0" xfId="0" applyFont="1" applyAlignment="1">
      <alignment horizontal="left" vertical="center"/>
    </xf>
    <xf numFmtId="0" fontId="13" fillId="0" borderId="11" xfId="0" applyFont="1" applyBorder="1" applyAlignment="1">
      <alignment horizontal="center" vertical="center" wrapText="1"/>
    </xf>
    <xf numFmtId="0" fontId="0" fillId="0" borderId="0" xfId="0" applyBorder="1" applyAlignment="1">
      <alignment vertical="center"/>
    </xf>
    <xf numFmtId="0" fontId="28" fillId="0" borderId="1" xfId="2" applyFont="1" applyBorder="1" applyAlignment="1">
      <alignment horizontal="center" vertical="center"/>
    </xf>
    <xf numFmtId="0" fontId="0" fillId="0" borderId="0" xfId="0" applyBorder="1" applyAlignment="1" applyProtection="1">
      <alignment vertical="center"/>
    </xf>
    <xf numFmtId="0" fontId="7" fillId="0" borderId="0" xfId="0" applyFont="1" applyProtection="1">
      <alignment vertical="center"/>
    </xf>
    <xf numFmtId="0" fontId="9" fillId="0" borderId="0" xfId="0" applyFont="1" applyProtection="1">
      <alignment vertical="center"/>
    </xf>
    <xf numFmtId="0" fontId="13" fillId="0" borderId="1" xfId="0" applyFont="1" applyBorder="1" applyAlignment="1" applyProtection="1">
      <alignment horizontal="center" vertical="center" shrinkToFit="1"/>
    </xf>
    <xf numFmtId="38" fontId="7" fillId="0" borderId="0" xfId="5" applyFont="1" applyBorder="1" applyAlignment="1" applyProtection="1">
      <alignment horizontal="center" vertical="center"/>
    </xf>
    <xf numFmtId="0" fontId="12" fillId="0" borderId="1" xfId="0" applyFont="1" applyBorder="1" applyAlignment="1" applyProtection="1">
      <alignment horizontal="center" vertical="center"/>
    </xf>
    <xf numFmtId="0" fontId="9" fillId="0" borderId="1" xfId="0" applyFont="1" applyBorder="1" applyAlignment="1" applyProtection="1">
      <alignment vertical="center" shrinkToFit="1"/>
    </xf>
    <xf numFmtId="0" fontId="0" fillId="0" borderId="0" xfId="0" applyBorder="1" applyAlignment="1" applyProtection="1">
      <alignment horizontal="left" vertical="center" shrinkToFit="1"/>
    </xf>
    <xf numFmtId="177" fontId="13" fillId="0" borderId="7" xfId="0" applyNumberFormat="1" applyFont="1" applyFill="1" applyBorder="1" applyAlignment="1" applyProtection="1">
      <alignment horizontal="center" vertical="center"/>
    </xf>
    <xf numFmtId="177" fontId="13" fillId="0" borderId="8" xfId="0" applyNumberFormat="1" applyFont="1" applyFill="1" applyBorder="1" applyAlignment="1" applyProtection="1">
      <alignment horizontal="center" vertical="center"/>
    </xf>
    <xf numFmtId="177" fontId="13" fillId="0" borderId="6" xfId="0" applyNumberFormat="1" applyFont="1" applyFill="1" applyBorder="1" applyAlignment="1" applyProtection="1">
      <alignment horizontal="center" vertical="center"/>
    </xf>
    <xf numFmtId="0" fontId="7" fillId="0" borderId="0" xfId="0" applyFont="1" applyAlignment="1" applyProtection="1">
      <alignment vertical="center" wrapText="1"/>
    </xf>
    <xf numFmtId="0" fontId="9"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7" fillId="0" borderId="0" xfId="0" applyFont="1" applyBorder="1" applyAlignment="1" applyProtection="1">
      <alignment horizontal="center" vertical="center"/>
    </xf>
    <xf numFmtId="0" fontId="11" fillId="0" borderId="0" xfId="0" applyFont="1" applyBorder="1" applyAlignment="1" applyProtection="1">
      <alignment vertical="center" shrinkToFit="1"/>
    </xf>
    <xf numFmtId="0" fontId="0" fillId="0" borderId="0" xfId="0" applyBorder="1" applyAlignment="1" applyProtection="1">
      <alignment vertical="center" shrinkToFit="1"/>
    </xf>
    <xf numFmtId="0" fontId="9" fillId="0" borderId="0" xfId="0" applyFont="1" applyBorder="1" applyProtection="1">
      <alignment vertical="center"/>
    </xf>
    <xf numFmtId="0" fontId="17" fillId="0" borderId="0" xfId="0" applyFont="1" applyAlignment="1" applyProtection="1">
      <alignment horizontal="center" vertical="center"/>
    </xf>
    <xf numFmtId="0" fontId="21" fillId="0" borderId="23" xfId="0" applyFont="1" applyBorder="1" applyAlignment="1" applyProtection="1">
      <alignment horizontal="center" vertical="center"/>
    </xf>
    <xf numFmtId="0" fontId="11" fillId="0" borderId="0" xfId="0" applyFont="1" applyAlignment="1" applyProtection="1">
      <alignment horizontal="center" vertical="center"/>
    </xf>
    <xf numFmtId="0" fontId="25" fillId="0" borderId="0" xfId="0" applyFont="1" applyAlignment="1" applyProtection="1">
      <alignment horizontal="center" vertical="center"/>
    </xf>
    <xf numFmtId="0" fontId="21" fillId="0" borderId="0" xfId="0" applyFont="1" applyBorder="1" applyAlignment="1" applyProtection="1">
      <alignment horizontal="center" vertical="center"/>
    </xf>
    <xf numFmtId="0" fontId="17" fillId="0" borderId="0" xfId="0" applyFont="1" applyBorder="1" applyAlignment="1" applyProtection="1">
      <alignment horizontal="center" vertical="center"/>
    </xf>
    <xf numFmtId="0" fontId="13" fillId="0" borderId="0" xfId="0" applyFont="1" applyBorder="1" applyAlignment="1" applyProtection="1">
      <alignment vertical="center" wrapText="1" shrinkToFit="1"/>
    </xf>
    <xf numFmtId="0" fontId="21" fillId="0" borderId="0" xfId="0" applyFont="1" applyFill="1" applyBorder="1" applyAlignment="1" applyProtection="1">
      <alignment vertical="top" wrapText="1" shrinkToFit="1"/>
    </xf>
    <xf numFmtId="0" fontId="0" fillId="0" borderId="0" xfId="0" applyAlignment="1" applyProtection="1">
      <alignment vertical="top"/>
    </xf>
    <xf numFmtId="0" fontId="26" fillId="0" borderId="23" xfId="0" applyFont="1" applyBorder="1" applyAlignment="1" applyProtection="1">
      <alignment horizontal="center" vertical="center"/>
    </xf>
    <xf numFmtId="0" fontId="12" fillId="0" borderId="0" xfId="0" applyFont="1" applyAlignment="1" applyProtection="1">
      <alignment horizontal="center" vertical="center"/>
    </xf>
    <xf numFmtId="0" fontId="13" fillId="0" borderId="1" xfId="0" applyFont="1" applyBorder="1" applyAlignment="1" applyProtection="1">
      <alignment horizontal="center" vertical="center"/>
    </xf>
    <xf numFmtId="0" fontId="9" fillId="0" borderId="1" xfId="0" applyFont="1" applyBorder="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center" vertical="center"/>
    </xf>
    <xf numFmtId="0" fontId="11" fillId="0" borderId="0" xfId="0" applyFont="1" applyProtection="1">
      <alignment vertical="center"/>
    </xf>
    <xf numFmtId="0" fontId="7" fillId="0" borderId="0" xfId="0" applyFont="1" applyProtection="1">
      <alignment vertical="center"/>
      <protection locked="0"/>
    </xf>
    <xf numFmtId="0" fontId="9" fillId="0" borderId="0" xfId="0" applyFont="1" applyAlignment="1" applyProtection="1"/>
    <xf numFmtId="0" fontId="13" fillId="0" borderId="0" xfId="0" applyFont="1" applyAlignment="1" applyProtection="1">
      <alignment horizontal="center"/>
    </xf>
    <xf numFmtId="0" fontId="15" fillId="0" borderId="0" xfId="0" applyFont="1" applyAlignment="1" applyProtection="1">
      <alignment horizontal="left"/>
    </xf>
    <xf numFmtId="0" fontId="20" fillId="0" borderId="1" xfId="0" applyFont="1" applyBorder="1" applyAlignment="1" applyProtection="1">
      <alignment horizontal="center"/>
    </xf>
    <xf numFmtId="0" fontId="20" fillId="0" borderId="1" xfId="0" applyFont="1" applyBorder="1" applyAlignment="1" applyProtection="1">
      <alignment horizontal="center" vertical="center"/>
    </xf>
    <xf numFmtId="0" fontId="21" fillId="0" borderId="8" xfId="0" applyFont="1" applyBorder="1" applyAlignment="1" applyProtection="1">
      <alignment vertical="center" shrinkToFit="1"/>
    </xf>
    <xf numFmtId="0" fontId="20" fillId="0" borderId="1" xfId="0" applyFont="1" applyBorder="1" applyAlignment="1" applyProtection="1">
      <alignment horizontal="left" vertical="center" shrinkToFit="1"/>
    </xf>
    <xf numFmtId="0" fontId="28" fillId="0" borderId="1" xfId="0" applyFont="1" applyBorder="1" applyAlignment="1" applyProtection="1"/>
    <xf numFmtId="0" fontId="9" fillId="0" borderId="1" xfId="0" applyFont="1" applyBorder="1" applyAlignment="1" applyProtection="1"/>
    <xf numFmtId="0" fontId="18" fillId="0" borderId="0" xfId="0" applyFont="1" applyAlignment="1" applyProtection="1"/>
    <xf numFmtId="3" fontId="9" fillId="0" borderId="0" xfId="0" applyNumberFormat="1" applyFont="1" applyProtection="1">
      <alignment vertical="center"/>
    </xf>
    <xf numFmtId="0" fontId="9" fillId="0" borderId="0" xfId="0" applyFont="1" applyAlignment="1" applyProtection="1">
      <alignment horizontal="center" vertical="center"/>
    </xf>
    <xf numFmtId="0" fontId="9" fillId="0" borderId="5" xfId="0" applyFont="1" applyBorder="1" applyAlignment="1" applyProtection="1">
      <alignment horizontal="center" vertical="center"/>
    </xf>
    <xf numFmtId="177" fontId="9" fillId="0" borderId="5" xfId="0" applyNumberFormat="1" applyFont="1" applyFill="1" applyBorder="1" applyAlignment="1" applyProtection="1">
      <alignment vertical="center" shrinkToFit="1"/>
    </xf>
    <xf numFmtId="0" fontId="9" fillId="0" borderId="1" xfId="0" applyFont="1" applyBorder="1" applyAlignment="1" applyProtection="1">
      <alignment horizontal="center" vertical="center" wrapText="1"/>
    </xf>
    <xf numFmtId="0" fontId="9" fillId="0" borderId="1" xfId="0" applyFont="1" applyBorder="1" applyAlignment="1" applyProtection="1">
      <alignment vertical="center"/>
    </xf>
    <xf numFmtId="0" fontId="9" fillId="0" borderId="1" xfId="0" applyFont="1" applyBorder="1" applyAlignment="1" applyProtection="1">
      <alignment horizontal="right" vertical="center"/>
    </xf>
    <xf numFmtId="0" fontId="9" fillId="0" borderId="1" xfId="0" applyFont="1" applyBorder="1" applyAlignment="1" applyProtection="1">
      <alignment horizontal="center" vertical="center"/>
    </xf>
    <xf numFmtId="3" fontId="9" fillId="0" borderId="0" xfId="0" applyNumberFormat="1" applyFont="1" applyBorder="1" applyProtection="1">
      <alignment vertical="center"/>
    </xf>
    <xf numFmtId="0" fontId="9" fillId="0" borderId="35" xfId="0" applyFont="1" applyBorder="1" applyProtection="1">
      <alignment vertical="center"/>
      <protection locked="0"/>
    </xf>
    <xf numFmtId="0" fontId="9" fillId="0" borderId="41" xfId="0" applyFont="1" applyBorder="1" applyProtection="1">
      <alignment vertical="center"/>
      <protection locked="0"/>
    </xf>
    <xf numFmtId="0" fontId="9" fillId="0" borderId="36" xfId="0" applyFont="1" applyBorder="1" applyProtection="1">
      <alignment vertical="center"/>
      <protection locked="0"/>
    </xf>
    <xf numFmtId="0" fontId="9" fillId="0" borderId="37" xfId="0" applyFont="1" applyBorder="1" applyProtection="1">
      <alignment vertical="center"/>
      <protection locked="0"/>
    </xf>
    <xf numFmtId="0" fontId="9" fillId="0" borderId="0" xfId="0" applyFont="1" applyBorder="1" applyProtection="1">
      <alignment vertical="center"/>
      <protection locked="0"/>
    </xf>
    <xf numFmtId="0" fontId="9" fillId="0" borderId="38" xfId="0" applyFont="1" applyBorder="1" applyProtection="1">
      <alignment vertical="center"/>
      <protection locked="0"/>
    </xf>
    <xf numFmtId="0" fontId="12" fillId="0" borderId="37"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9" fillId="0" borderId="39" xfId="0" applyFont="1" applyBorder="1" applyProtection="1">
      <alignment vertical="center"/>
      <protection locked="0"/>
    </xf>
    <xf numFmtId="0" fontId="9" fillId="0" borderId="42" xfId="0" applyFont="1" applyBorder="1" applyProtection="1">
      <alignment vertical="center"/>
      <protection locked="0"/>
    </xf>
    <xf numFmtId="0" fontId="9" fillId="0" borderId="40" xfId="0" applyFont="1" applyBorder="1" applyProtection="1">
      <alignment vertical="center"/>
      <protection locked="0"/>
    </xf>
    <xf numFmtId="0" fontId="13" fillId="0" borderId="1" xfId="0" applyFont="1" applyBorder="1" applyAlignment="1">
      <alignment horizontal="center" vertical="center"/>
    </xf>
    <xf numFmtId="178" fontId="9" fillId="0" borderId="2" xfId="0" applyNumberFormat="1" applyFont="1" applyBorder="1" applyAlignment="1" applyProtection="1">
      <alignment vertical="center" shrinkToFit="1"/>
    </xf>
    <xf numFmtId="178" fontId="9" fillId="0" borderId="13" xfId="0" applyNumberFormat="1" applyFont="1" applyBorder="1" applyAlignment="1" applyProtection="1">
      <alignment vertical="center" shrinkToFit="1"/>
    </xf>
    <xf numFmtId="0" fontId="9" fillId="0" borderId="0" xfId="0" applyFont="1" applyFill="1" applyAlignment="1">
      <alignment horizontal="right" vertical="top" wrapText="1"/>
    </xf>
    <xf numFmtId="0" fontId="9" fillId="0" borderId="0" xfId="0" applyNumberFormat="1" applyFont="1" applyFill="1" applyAlignment="1">
      <alignment horizontal="right" vertical="top" wrapText="1"/>
    </xf>
    <xf numFmtId="187" fontId="9" fillId="0" borderId="0" xfId="0" applyNumberFormat="1" applyFont="1" applyFill="1" applyAlignment="1">
      <alignment horizontal="right" vertical="top" wrapText="1"/>
    </xf>
    <xf numFmtId="0" fontId="41" fillId="0" borderId="0" xfId="0" applyFont="1">
      <alignment vertical="center"/>
    </xf>
    <xf numFmtId="0" fontId="41" fillId="0" borderId="0" xfId="0" applyFont="1" applyAlignment="1">
      <alignment horizontal="right" vertical="center"/>
    </xf>
    <xf numFmtId="0" fontId="41" fillId="0" borderId="0" xfId="0" applyFont="1" applyAlignment="1">
      <alignment horizontal="distributed" vertical="center"/>
    </xf>
    <xf numFmtId="0" fontId="22" fillId="0" borderId="1" xfId="0" applyFont="1" applyBorder="1">
      <alignment vertical="center"/>
    </xf>
    <xf numFmtId="0" fontId="22" fillId="0" borderId="1" xfId="0" applyFont="1" applyBorder="1" applyAlignment="1">
      <alignment horizontal="center" vertical="center"/>
    </xf>
    <xf numFmtId="179" fontId="22" fillId="0" borderId="1" xfId="0" applyNumberFormat="1" applyFont="1" applyBorder="1">
      <alignment vertical="center"/>
    </xf>
    <xf numFmtId="180" fontId="22" fillId="0" borderId="1" xfId="0" applyNumberFormat="1" applyFont="1" applyBorder="1" applyAlignment="1">
      <alignment horizontal="center" vertical="center"/>
    </xf>
    <xf numFmtId="180" fontId="22" fillId="0" borderId="1" xfId="0" applyNumberFormat="1" applyFont="1" applyBorder="1">
      <alignment vertical="center"/>
    </xf>
    <xf numFmtId="181" fontId="22" fillId="0" borderId="1" xfId="0" applyNumberFormat="1" applyFont="1" applyBorder="1" applyAlignment="1">
      <alignment horizontal="center" vertical="center"/>
    </xf>
    <xf numFmtId="181" fontId="22" fillId="0" borderId="1" xfId="0" applyNumberFormat="1" applyFont="1" applyBorder="1">
      <alignment vertical="center"/>
    </xf>
    <xf numFmtId="189" fontId="9" fillId="0" borderId="4" xfId="0" applyNumberFormat="1" applyFont="1" applyBorder="1" applyAlignment="1" applyProtection="1">
      <alignment vertical="center" shrinkToFit="1"/>
    </xf>
    <xf numFmtId="189" fontId="9" fillId="0" borderId="16" xfId="0" applyNumberFormat="1" applyFont="1" applyBorder="1" applyAlignment="1" applyProtection="1">
      <alignment vertical="center" shrinkToFit="1"/>
    </xf>
    <xf numFmtId="14" fontId="22" fillId="0" borderId="1" xfId="0" applyNumberFormat="1" applyFont="1" applyBorder="1" applyAlignment="1">
      <alignment horizontal="center" vertical="center"/>
    </xf>
    <xf numFmtId="14" fontId="22" fillId="0" borderId="0" xfId="0" applyNumberFormat="1" applyFont="1">
      <alignment vertical="center"/>
    </xf>
    <xf numFmtId="0" fontId="13" fillId="0" borderId="37"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38" xfId="0" applyFont="1" applyBorder="1" applyAlignment="1" applyProtection="1">
      <alignment horizontal="center" vertical="center" shrinkToFit="1"/>
      <protection locked="0"/>
    </xf>
    <xf numFmtId="0" fontId="12" fillId="0" borderId="37" xfId="0" applyFont="1" applyBorder="1" applyAlignment="1" applyProtection="1">
      <alignment horizontal="center" vertical="center" shrinkToFit="1"/>
      <protection locked="0"/>
    </xf>
    <xf numFmtId="0" fontId="0" fillId="0" borderId="0" xfId="0" applyBorder="1" applyAlignment="1">
      <alignment vertical="center"/>
    </xf>
    <xf numFmtId="190" fontId="13" fillId="0" borderId="6" xfId="0" applyNumberFormat="1" applyFont="1" applyBorder="1" applyAlignment="1" applyProtection="1">
      <alignment horizontal="center" vertical="center"/>
      <protection locked="0"/>
    </xf>
    <xf numFmtId="0" fontId="8" fillId="0" borderId="0" xfId="0" applyFont="1" applyBorder="1" applyProtection="1">
      <alignment vertical="center"/>
    </xf>
    <xf numFmtId="0" fontId="9" fillId="0" borderId="0" xfId="0" applyFont="1" applyBorder="1" applyAlignment="1">
      <alignment horizontal="center" vertical="center"/>
    </xf>
    <xf numFmtId="0" fontId="30" fillId="3" borderId="0" xfId="0" applyFont="1" applyFill="1" applyBorder="1" applyAlignment="1">
      <alignment horizontal="center" vertical="center" wrapText="1" shrinkToFit="1"/>
    </xf>
    <xf numFmtId="176" fontId="30" fillId="3" borderId="0" xfId="0" applyNumberFormat="1" applyFont="1" applyFill="1" applyBorder="1" applyAlignment="1">
      <alignment horizontal="center" vertical="center" wrapText="1"/>
    </xf>
    <xf numFmtId="38" fontId="9" fillId="0" borderId="0" xfId="0" applyNumberFormat="1" applyFont="1" applyBorder="1">
      <alignment vertical="center"/>
    </xf>
    <xf numFmtId="0" fontId="9" fillId="0" borderId="0" xfId="0" applyFont="1" applyBorder="1">
      <alignment vertical="center"/>
    </xf>
    <xf numFmtId="38" fontId="9" fillId="0" borderId="0" xfId="5" applyFont="1" applyBorder="1">
      <alignment vertical="center"/>
    </xf>
    <xf numFmtId="0" fontId="31" fillId="0" borderId="0" xfId="0" applyFont="1" applyBorder="1">
      <alignment vertical="center"/>
    </xf>
    <xf numFmtId="0" fontId="9" fillId="0" borderId="0" xfId="0" applyFont="1" applyBorder="1" applyAlignment="1">
      <alignment vertical="center"/>
    </xf>
    <xf numFmtId="0" fontId="10" fillId="0" borderId="1" xfId="0" applyFont="1" applyBorder="1" applyProtection="1">
      <alignment vertical="center"/>
    </xf>
    <xf numFmtId="0" fontId="10" fillId="0" borderId="1" xfId="0" applyFont="1" applyBorder="1" applyAlignment="1" applyProtection="1">
      <alignment horizontal="center" vertical="center"/>
    </xf>
    <xf numFmtId="14" fontId="10" fillId="0" borderId="7" xfId="0" applyNumberFormat="1" applyFont="1" applyBorder="1" applyAlignment="1" applyProtection="1">
      <alignment horizontal="center" vertical="center"/>
    </xf>
    <xf numFmtId="0" fontId="10" fillId="0" borderId="1" xfId="0" applyNumberFormat="1" applyFont="1" applyBorder="1" applyProtection="1">
      <alignment vertical="center"/>
    </xf>
    <xf numFmtId="0" fontId="10" fillId="0" borderId="1" xfId="0" applyNumberFormat="1" applyFont="1" applyBorder="1" applyAlignment="1" applyProtection="1">
      <alignment horizontal="center" vertical="center"/>
    </xf>
    <xf numFmtId="14" fontId="10" fillId="0" borderId="1" xfId="0" applyNumberFormat="1" applyFont="1" applyBorder="1" applyAlignment="1" applyProtection="1">
      <alignment horizontal="center" vertical="center"/>
    </xf>
    <xf numFmtId="0" fontId="7" fillId="0" borderId="0" xfId="0" applyNumberFormat="1" applyFont="1" applyAlignment="1" applyProtection="1">
      <alignment horizontal="center" vertical="center"/>
    </xf>
    <xf numFmtId="0" fontId="27" fillId="0" borderId="1" xfId="0" applyFont="1" applyBorder="1" applyAlignment="1">
      <alignment horizontal="center" vertical="center"/>
    </xf>
    <xf numFmtId="0" fontId="27" fillId="0" borderId="0" xfId="0" applyFont="1" applyBorder="1" applyAlignment="1">
      <alignment horizontal="center" vertical="center"/>
    </xf>
    <xf numFmtId="177" fontId="9" fillId="0" borderId="0" xfId="0" applyNumberFormat="1" applyFont="1" applyAlignment="1">
      <alignment horizontal="distributed" vertical="center"/>
    </xf>
    <xf numFmtId="0" fontId="9" fillId="0" borderId="0" xfId="0" applyFont="1" applyBorder="1" applyAlignment="1" applyProtection="1">
      <alignment horizontal="center" vertical="center" shrinkToFit="1"/>
    </xf>
    <xf numFmtId="0" fontId="28" fillId="0" borderId="0" xfId="2" applyFont="1" applyBorder="1" applyAlignment="1">
      <alignment horizontal="center" vertical="center"/>
    </xf>
    <xf numFmtId="192" fontId="28" fillId="0" borderId="0" xfId="2" applyNumberFormat="1" applyFont="1" applyBorder="1" applyAlignment="1">
      <alignment horizontal="right" vertical="center"/>
    </xf>
    <xf numFmtId="0" fontId="9" fillId="0" borderId="0" xfId="0" applyFont="1" applyAlignment="1" applyProtection="1">
      <alignment horizontal="center" vertical="center"/>
      <protection locked="0"/>
    </xf>
    <xf numFmtId="0" fontId="22" fillId="2" borderId="1" xfId="0" applyFont="1" applyFill="1" applyBorder="1" applyAlignment="1">
      <alignment horizontal="center" vertical="center"/>
    </xf>
    <xf numFmtId="0" fontId="22" fillId="2" borderId="1" xfId="0" applyFont="1" applyFill="1" applyBorder="1">
      <alignment vertical="center"/>
    </xf>
    <xf numFmtId="179" fontId="22" fillId="2" borderId="1" xfId="0" applyNumberFormat="1" applyFont="1" applyFill="1" applyBorder="1">
      <alignment vertical="center"/>
    </xf>
    <xf numFmtId="180" fontId="22" fillId="2" borderId="1" xfId="0" applyNumberFormat="1" applyFont="1" applyFill="1" applyBorder="1">
      <alignment vertical="center"/>
    </xf>
    <xf numFmtId="181" fontId="22" fillId="2" borderId="1" xfId="0" applyNumberFormat="1" applyFont="1" applyFill="1" applyBorder="1">
      <alignment vertical="center"/>
    </xf>
    <xf numFmtId="14" fontId="22" fillId="2"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Fill="1" applyBorder="1">
      <alignment vertical="center"/>
    </xf>
    <xf numFmtId="179" fontId="22" fillId="0" borderId="1" xfId="0" applyNumberFormat="1" applyFont="1" applyFill="1" applyBorder="1">
      <alignment vertical="center"/>
    </xf>
    <xf numFmtId="180" fontId="22" fillId="0" borderId="1" xfId="0" applyNumberFormat="1" applyFont="1" applyFill="1" applyBorder="1">
      <alignment vertical="center"/>
    </xf>
    <xf numFmtId="181" fontId="22" fillId="0" borderId="1" xfId="0" applyNumberFormat="1" applyFont="1" applyFill="1" applyBorder="1">
      <alignment vertical="center"/>
    </xf>
    <xf numFmtId="14" fontId="22" fillId="0" borderId="1" xfId="0" applyNumberFormat="1" applyFont="1" applyFill="1" applyBorder="1" applyAlignment="1">
      <alignment horizontal="center" vertical="center"/>
    </xf>
    <xf numFmtId="0" fontId="13" fillId="5" borderId="22" xfId="0" applyNumberFormat="1" applyFont="1" applyFill="1" applyBorder="1" applyAlignment="1" applyProtection="1">
      <alignment horizontal="center" vertical="center"/>
      <protection locked="0"/>
    </xf>
    <xf numFmtId="178" fontId="9" fillId="5" borderId="2" xfId="0" applyNumberFormat="1" applyFont="1" applyFill="1" applyBorder="1" applyAlignment="1" applyProtection="1">
      <alignment vertical="center" shrinkToFit="1"/>
    </xf>
    <xf numFmtId="189" fontId="9" fillId="5" borderId="4" xfId="0" applyNumberFormat="1" applyFont="1" applyFill="1" applyBorder="1" applyAlignment="1" applyProtection="1">
      <alignment vertical="center" shrinkToFit="1"/>
    </xf>
    <xf numFmtId="0" fontId="22" fillId="0" borderId="0" xfId="0" applyFont="1" applyFill="1">
      <alignment vertical="center"/>
    </xf>
    <xf numFmtId="180" fontId="22" fillId="0" borderId="0" xfId="0" applyNumberFormat="1" applyFont="1">
      <alignment vertical="center"/>
    </xf>
    <xf numFmtId="181" fontId="22" fillId="0" borderId="0" xfId="0" applyNumberFormat="1" applyFont="1">
      <alignment vertical="center"/>
    </xf>
    <xf numFmtId="179" fontId="22" fillId="0" borderId="1" xfId="0" applyNumberFormat="1" applyFont="1" applyBorder="1" applyAlignment="1">
      <alignment horizontal="center" vertical="center"/>
    </xf>
    <xf numFmtId="179" fontId="22" fillId="0" borderId="0" xfId="0" applyNumberFormat="1" applyFont="1">
      <alignment vertical="center"/>
    </xf>
    <xf numFmtId="0" fontId="22" fillId="6" borderId="1" xfId="0" applyFont="1" applyFill="1" applyBorder="1" applyAlignment="1">
      <alignment horizontal="center" vertical="center"/>
    </xf>
    <xf numFmtId="0" fontId="22" fillId="6" borderId="1" xfId="0" applyFont="1" applyFill="1" applyBorder="1">
      <alignment vertical="center"/>
    </xf>
    <xf numFmtId="179" fontId="22" fillId="6" borderId="1" xfId="0" applyNumberFormat="1" applyFont="1" applyFill="1" applyBorder="1">
      <alignment vertical="center"/>
    </xf>
    <xf numFmtId="180" fontId="22" fillId="6" borderId="1" xfId="0" applyNumberFormat="1" applyFont="1" applyFill="1" applyBorder="1">
      <alignment vertical="center"/>
    </xf>
    <xf numFmtId="181" fontId="22" fillId="6" borderId="1" xfId="0" applyNumberFormat="1" applyFont="1" applyFill="1" applyBorder="1">
      <alignment vertical="center"/>
    </xf>
    <xf numFmtId="14" fontId="22" fillId="6" borderId="1" xfId="0" applyNumberFormat="1" applyFont="1" applyFill="1" applyBorder="1" applyAlignment="1">
      <alignment horizontal="center" vertical="center"/>
    </xf>
    <xf numFmtId="0" fontId="28" fillId="0" borderId="2" xfId="2" applyFont="1" applyFill="1" applyBorder="1" applyAlignment="1">
      <alignment horizontal="right" vertical="center"/>
    </xf>
    <xf numFmtId="0" fontId="22" fillId="0" borderId="2" xfId="0" applyFont="1" applyBorder="1" applyAlignment="1">
      <alignment horizontal="center" vertical="center" shrinkToFit="1"/>
    </xf>
    <xf numFmtId="0" fontId="0" fillId="0" borderId="4" xfId="0" applyBorder="1" applyAlignment="1">
      <alignment vertical="center" shrinkToFit="1"/>
    </xf>
    <xf numFmtId="14" fontId="22" fillId="0" borderId="2" xfId="0" applyNumberFormat="1"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0" fillId="0" borderId="1" xfId="0" applyBorder="1" applyAlignment="1">
      <alignment horizontal="center" vertical="center" shrinkToFit="1"/>
    </xf>
    <xf numFmtId="0" fontId="22" fillId="0" borderId="7" xfId="0" applyFont="1" applyBorder="1" applyAlignment="1">
      <alignment horizontal="center" vertical="center" shrinkToFit="1"/>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22" fillId="0" borderId="7" xfId="0" applyFont="1"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13" fillId="0" borderId="7" xfId="0" applyFont="1" applyBorder="1" applyAlignment="1" applyProtection="1">
      <alignment vertical="center" wrapText="1"/>
    </xf>
    <xf numFmtId="0" fontId="12" fillId="0" borderId="8" xfId="0" applyFont="1" applyBorder="1" applyAlignment="1" applyProtection="1">
      <alignment vertical="center" wrapText="1"/>
    </xf>
    <xf numFmtId="0" fontId="12" fillId="0" borderId="6" xfId="0" applyFont="1" applyBorder="1" applyAlignment="1" applyProtection="1">
      <alignment vertical="center" wrapText="1"/>
    </xf>
    <xf numFmtId="0" fontId="13" fillId="0" borderId="21" xfId="0" applyFont="1" applyBorder="1" applyAlignment="1" applyProtection="1">
      <alignment horizontal="center" vertical="center"/>
    </xf>
    <xf numFmtId="0" fontId="13" fillId="0" borderId="22" xfId="0" applyFont="1" applyBorder="1" applyAlignment="1" applyProtection="1">
      <alignment horizontal="center" vertical="center"/>
    </xf>
    <xf numFmtId="0" fontId="13" fillId="0" borderId="8" xfId="0" applyFont="1" applyBorder="1" applyAlignment="1" applyProtection="1">
      <alignment vertical="center" wrapText="1"/>
    </xf>
    <xf numFmtId="0" fontId="13" fillId="0" borderId="6" xfId="0" applyFont="1" applyBorder="1" applyAlignment="1" applyProtection="1">
      <alignment vertical="center" wrapText="1"/>
    </xf>
    <xf numFmtId="0" fontId="13" fillId="0" borderId="1" xfId="0" applyFont="1" applyBorder="1" applyAlignment="1" applyProtection="1">
      <alignment vertical="center" wrapText="1" shrinkToFit="1"/>
    </xf>
    <xf numFmtId="0" fontId="12" fillId="0" borderId="1" xfId="0" applyFont="1" applyBorder="1" applyAlignment="1" applyProtection="1">
      <alignment vertical="center" wrapText="1" shrinkToFit="1"/>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6" xfId="0" applyFont="1" applyBorder="1" applyAlignment="1" applyProtection="1">
      <alignment horizontal="center" vertical="center"/>
    </xf>
    <xf numFmtId="0" fontId="23" fillId="0" borderId="6" xfId="0" applyFont="1" applyBorder="1" applyAlignment="1" applyProtection="1">
      <alignment horizontal="center" vertical="center"/>
    </xf>
    <xf numFmtId="0" fontId="13" fillId="0" borderId="7" xfId="0" applyFont="1" applyBorder="1" applyAlignment="1" applyProtection="1">
      <alignment horizontal="left" vertical="center"/>
    </xf>
    <xf numFmtId="0" fontId="13" fillId="0" borderId="8" xfId="0" applyFont="1" applyBorder="1" applyAlignment="1" applyProtection="1">
      <alignment vertical="center"/>
    </xf>
    <xf numFmtId="0" fontId="12" fillId="0" borderId="6" xfId="0" applyFont="1" applyBorder="1" applyAlignment="1" applyProtection="1">
      <alignment vertical="center"/>
    </xf>
    <xf numFmtId="0" fontId="13" fillId="0" borderId="7" xfId="0" applyFont="1" applyBorder="1" applyAlignment="1" applyProtection="1">
      <alignment vertical="center" wrapText="1" shrinkToFit="1"/>
    </xf>
    <xf numFmtId="0" fontId="13" fillId="0" borderId="8" xfId="0" applyFont="1" applyBorder="1" applyAlignment="1" applyProtection="1">
      <alignment vertical="center" wrapText="1" shrinkToFit="1"/>
    </xf>
    <xf numFmtId="0" fontId="13" fillId="0" borderId="6" xfId="0" applyFont="1" applyBorder="1" applyAlignment="1" applyProtection="1">
      <alignment vertical="center" wrapText="1" shrinkToFit="1"/>
    </xf>
    <xf numFmtId="0" fontId="13" fillId="0" borderId="1" xfId="0" applyFont="1" applyBorder="1" applyAlignment="1" applyProtection="1">
      <alignment vertical="center" shrinkToFit="1"/>
    </xf>
    <xf numFmtId="0" fontId="12" fillId="0" borderId="1" xfId="0" applyFont="1" applyBorder="1" applyAlignment="1" applyProtection="1">
      <alignment vertical="center" shrinkToFit="1"/>
    </xf>
    <xf numFmtId="0" fontId="9" fillId="0" borderId="1" xfId="0" applyFont="1" applyBorder="1" applyAlignment="1" applyProtection="1">
      <alignment horizontal="left" vertical="center" shrinkToFit="1"/>
    </xf>
    <xf numFmtId="0" fontId="0" fillId="0" borderId="1" xfId="0" applyBorder="1" applyAlignment="1" applyProtection="1">
      <alignment vertical="center"/>
    </xf>
    <xf numFmtId="0" fontId="13" fillId="0" borderId="7"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3"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3" fillId="0" borderId="1" xfId="0" applyFont="1" applyBorder="1" applyAlignment="1" applyProtection="1">
      <alignment horizontal="center" vertical="center" shrinkToFit="1"/>
    </xf>
    <xf numFmtId="0" fontId="12" fillId="0" borderId="1" xfId="0" applyFont="1" applyBorder="1" applyAlignment="1" applyProtection="1">
      <alignment horizontal="center" vertical="center" shrinkToFit="1"/>
    </xf>
    <xf numFmtId="0" fontId="13" fillId="5" borderId="7" xfId="0" applyFont="1" applyFill="1" applyBorder="1" applyAlignment="1" applyProtection="1">
      <alignment horizontal="left" vertical="center"/>
      <protection locked="0"/>
    </xf>
    <xf numFmtId="0" fontId="12" fillId="5" borderId="8" xfId="0" applyFont="1" applyFill="1" applyBorder="1" applyAlignment="1" applyProtection="1">
      <alignment horizontal="left" vertical="center"/>
      <protection locked="0"/>
    </xf>
    <xf numFmtId="0" fontId="12" fillId="5" borderId="6" xfId="0" applyFont="1" applyFill="1" applyBorder="1" applyAlignment="1" applyProtection="1">
      <alignment horizontal="left" vertical="center"/>
      <protection locked="0"/>
    </xf>
    <xf numFmtId="0" fontId="12" fillId="0" borderId="6"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5" borderId="11" xfId="0" applyFont="1" applyFill="1" applyBorder="1" applyAlignment="1" applyProtection="1">
      <alignment horizontal="left" vertical="center"/>
    </xf>
    <xf numFmtId="0" fontId="12" fillId="5" borderId="0" xfId="0" applyFont="1" applyFill="1" applyBorder="1" applyAlignment="1" applyProtection="1">
      <alignment horizontal="left" vertical="center"/>
    </xf>
    <xf numFmtId="0" fontId="12" fillId="5" borderId="9" xfId="0" applyFont="1" applyFill="1" applyBorder="1" applyAlignment="1" applyProtection="1">
      <alignment horizontal="left" vertical="center"/>
    </xf>
    <xf numFmtId="0" fontId="13" fillId="0" borderId="1" xfId="0" applyFont="1" applyBorder="1" applyAlignment="1" applyProtection="1">
      <alignment horizontal="center" vertical="center" wrapText="1"/>
    </xf>
    <xf numFmtId="0" fontId="13" fillId="0" borderId="7" xfId="0" applyFont="1" applyFill="1" applyBorder="1" applyAlignment="1" applyProtection="1">
      <alignment horizontal="center" vertical="center"/>
    </xf>
    <xf numFmtId="0" fontId="12" fillId="0" borderId="8" xfId="0" applyFont="1" applyBorder="1" applyAlignment="1" applyProtection="1">
      <alignment vertical="center"/>
    </xf>
    <xf numFmtId="0" fontId="13" fillId="0" borderId="7" xfId="0" applyFont="1" applyBorder="1" applyAlignment="1" applyProtection="1">
      <alignment vertical="center" shrinkToFit="1"/>
    </xf>
    <xf numFmtId="0" fontId="12" fillId="0" borderId="8" xfId="0" applyFont="1" applyBorder="1" applyAlignment="1" applyProtection="1">
      <alignment vertical="center" shrinkToFit="1"/>
    </xf>
    <xf numFmtId="0" fontId="13"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15" xfId="0" applyFont="1" applyBorder="1" applyAlignment="1" applyProtection="1">
      <alignment horizontal="center" vertical="center"/>
    </xf>
    <xf numFmtId="0" fontId="13" fillId="0" borderId="1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9" xfId="0" applyFont="1" applyBorder="1" applyAlignment="1" applyProtection="1">
      <alignment horizontal="center" vertical="center"/>
    </xf>
    <xf numFmtId="0" fontId="13" fillId="0" borderId="16"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0" xfId="0" applyFont="1" applyBorder="1" applyAlignment="1" applyProtection="1">
      <alignment horizontal="center" vertical="center"/>
    </xf>
    <xf numFmtId="0" fontId="21" fillId="0" borderId="5" xfId="0" applyFont="1" applyBorder="1" applyAlignment="1" applyProtection="1">
      <alignment vertical="center" wrapText="1"/>
    </xf>
    <xf numFmtId="0" fontId="21" fillId="0" borderId="5" xfId="0" applyFont="1" applyBorder="1" applyAlignment="1" applyProtection="1">
      <alignment vertical="center"/>
    </xf>
    <xf numFmtId="0" fontId="21" fillId="0" borderId="0" xfId="0" applyFont="1" applyFill="1" applyBorder="1" applyAlignment="1" applyProtection="1">
      <alignment vertical="center" wrapText="1" shrinkToFit="1"/>
    </xf>
    <xf numFmtId="0" fontId="0" fillId="0" borderId="0" xfId="0" applyAlignment="1" applyProtection="1">
      <alignment vertical="center"/>
    </xf>
    <xf numFmtId="0" fontId="13" fillId="0" borderId="7" xfId="0" applyFont="1" applyBorder="1" applyAlignment="1" applyProtection="1">
      <alignment horizontal="left" vertical="center" shrinkToFit="1"/>
    </xf>
    <xf numFmtId="0" fontId="12" fillId="0" borderId="8"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3" fillId="5" borderId="7" xfId="1" applyNumberFormat="1" applyFill="1" applyBorder="1" applyAlignment="1" applyProtection="1">
      <alignment horizontal="left" vertical="center"/>
      <protection locked="0"/>
    </xf>
    <xf numFmtId="0" fontId="13" fillId="5" borderId="8" xfId="0" applyFont="1" applyFill="1" applyBorder="1" applyAlignment="1" applyProtection="1">
      <alignment horizontal="left" vertical="center"/>
      <protection locked="0"/>
    </xf>
    <xf numFmtId="0" fontId="13" fillId="5" borderId="6" xfId="0" applyFont="1" applyFill="1" applyBorder="1" applyAlignment="1" applyProtection="1">
      <alignment horizontal="left" vertical="center"/>
      <protection locked="0"/>
    </xf>
    <xf numFmtId="0" fontId="13" fillId="2" borderId="7" xfId="0" applyFont="1" applyFill="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9" fillId="0" borderId="1" xfId="0" applyFont="1" applyBorder="1" applyAlignment="1" applyProtection="1">
      <alignment vertical="center" wrapText="1" shrinkToFit="1"/>
    </xf>
    <xf numFmtId="0" fontId="7" fillId="0" borderId="1" xfId="0" applyFont="1" applyBorder="1" applyAlignment="1" applyProtection="1">
      <alignment vertical="center"/>
    </xf>
    <xf numFmtId="0" fontId="12" fillId="0" borderId="6" xfId="0" applyFont="1" applyBorder="1" applyAlignment="1" applyProtection="1">
      <alignment horizontal="left" vertical="center" shrinkToFit="1"/>
    </xf>
    <xf numFmtId="183" fontId="13" fillId="2" borderId="7" xfId="0" applyNumberFormat="1" applyFont="1" applyFill="1" applyBorder="1" applyAlignment="1" applyProtection="1">
      <alignment horizontal="left" vertical="center"/>
      <protection locked="0"/>
    </xf>
    <xf numFmtId="183" fontId="12" fillId="0" borderId="8" xfId="0" applyNumberFormat="1" applyFont="1" applyBorder="1" applyAlignment="1" applyProtection="1">
      <alignment horizontal="left" vertical="center"/>
      <protection locked="0"/>
    </xf>
    <xf numFmtId="183" fontId="12" fillId="0" borderId="6" xfId="0" applyNumberFormat="1" applyFont="1" applyBorder="1" applyAlignment="1" applyProtection="1">
      <alignment horizontal="left" vertical="center"/>
      <protection locked="0"/>
    </xf>
    <xf numFmtId="0" fontId="0" fillId="0" borderId="8" xfId="0" applyBorder="1" applyAlignment="1" applyProtection="1">
      <alignment vertical="center"/>
    </xf>
    <xf numFmtId="0" fontId="0" fillId="0" borderId="6" xfId="0" applyBorder="1" applyAlignment="1" applyProtection="1">
      <alignment vertical="center"/>
    </xf>
    <xf numFmtId="0" fontId="13" fillId="5" borderId="8" xfId="0" applyNumberFormat="1" applyFont="1" applyFill="1" applyBorder="1" applyAlignment="1" applyProtection="1">
      <alignment horizontal="center" vertical="center" shrinkToFit="1"/>
      <protection locked="0"/>
    </xf>
    <xf numFmtId="0" fontId="9" fillId="5" borderId="8" xfId="0" applyNumberFormat="1" applyFont="1" applyFill="1" applyBorder="1" applyAlignment="1" applyProtection="1">
      <alignment horizontal="center" vertical="center" shrinkToFit="1"/>
      <protection locked="0"/>
    </xf>
    <xf numFmtId="0" fontId="9" fillId="0" borderId="7" xfId="0" applyFont="1" applyBorder="1" applyAlignment="1" applyProtection="1">
      <alignment horizontal="center" vertical="center" wrapText="1"/>
    </xf>
    <xf numFmtId="0" fontId="9" fillId="0" borderId="8" xfId="0" applyFont="1" applyBorder="1" applyAlignment="1">
      <alignment horizontal="center" vertical="center"/>
    </xf>
    <xf numFmtId="0" fontId="20" fillId="0" borderId="7" xfId="0" applyFont="1" applyBorder="1" applyAlignment="1" applyProtection="1">
      <alignment horizontal="left" vertical="center" wrapText="1" shrinkToFit="1"/>
    </xf>
    <xf numFmtId="0" fontId="12" fillId="0" borderId="8" xfId="0" applyFont="1" applyBorder="1" applyAlignment="1" applyProtection="1">
      <alignment horizontal="left" vertical="center" wrapText="1" shrinkToFit="1"/>
    </xf>
    <xf numFmtId="0" fontId="12" fillId="0" borderId="6" xfId="0" applyFont="1" applyBorder="1" applyAlignment="1" applyProtection="1">
      <alignment horizontal="left" vertical="center" wrapText="1" shrinkToFit="1"/>
    </xf>
    <xf numFmtId="0" fontId="13" fillId="5" borderId="13" xfId="0" applyFont="1" applyFill="1" applyBorder="1" applyAlignment="1" applyProtection="1">
      <alignment horizontal="left" vertical="center"/>
    </xf>
    <xf numFmtId="0" fontId="12" fillId="5" borderId="14" xfId="0" applyFont="1" applyFill="1" applyBorder="1" applyAlignment="1" applyProtection="1">
      <alignment horizontal="left" vertical="center"/>
    </xf>
    <xf numFmtId="0" fontId="12" fillId="5" borderId="15" xfId="0" applyFont="1" applyFill="1" applyBorder="1" applyAlignment="1" applyProtection="1">
      <alignment horizontal="left" vertical="center"/>
    </xf>
    <xf numFmtId="0" fontId="13" fillId="5" borderId="16" xfId="0" applyFont="1" applyFill="1" applyBorder="1" applyAlignment="1" applyProtection="1">
      <alignment horizontal="left" vertical="center"/>
    </xf>
    <xf numFmtId="0" fontId="12" fillId="5" borderId="5" xfId="0" applyFont="1" applyFill="1" applyBorder="1" applyAlignment="1" applyProtection="1">
      <alignment horizontal="left" vertical="center"/>
    </xf>
    <xf numFmtId="0" fontId="12" fillId="5" borderId="10" xfId="0" applyFont="1" applyFill="1" applyBorder="1" applyAlignment="1" applyProtection="1">
      <alignment horizontal="left" vertical="center"/>
    </xf>
    <xf numFmtId="0" fontId="20" fillId="0" borderId="7" xfId="0" applyFont="1" applyBorder="1" applyAlignment="1" applyProtection="1">
      <alignment horizontal="left" vertical="center" shrinkToFit="1"/>
    </xf>
    <xf numFmtId="0" fontId="21" fillId="0" borderId="7" xfId="0" applyFont="1" applyBorder="1" applyAlignment="1" applyProtection="1">
      <alignment vertical="center" shrinkToFit="1"/>
    </xf>
    <xf numFmtId="0" fontId="9" fillId="0" borderId="8" xfId="0" applyFont="1" applyBorder="1" applyAlignment="1" applyProtection="1">
      <alignment vertical="center"/>
    </xf>
    <xf numFmtId="0" fontId="34" fillId="4" borderId="7" xfId="0" applyFont="1" applyFill="1" applyBorder="1" applyAlignment="1" applyProtection="1">
      <alignment horizontal="left" vertical="center" shrinkToFit="1"/>
      <protection locked="0"/>
    </xf>
    <xf numFmtId="0" fontId="9" fillId="4" borderId="8" xfId="0" applyFont="1" applyFill="1" applyBorder="1" applyAlignment="1" applyProtection="1">
      <alignment horizontal="left" vertical="center" shrinkToFit="1"/>
      <protection locked="0"/>
    </xf>
    <xf numFmtId="0" fontId="9" fillId="4" borderId="6" xfId="0" applyFont="1" applyFill="1" applyBorder="1" applyAlignment="1" applyProtection="1">
      <alignment horizontal="left" vertical="center" shrinkToFit="1"/>
      <protection locked="0"/>
    </xf>
    <xf numFmtId="0" fontId="21" fillId="0" borderId="8" xfId="0" applyFont="1" applyBorder="1" applyAlignment="1" applyProtection="1">
      <alignment vertical="center"/>
    </xf>
    <xf numFmtId="0" fontId="20" fillId="0" borderId="1" xfId="0" applyFont="1" applyBorder="1" applyAlignment="1" applyProtection="1">
      <alignment horizontal="left"/>
    </xf>
    <xf numFmtId="0" fontId="28" fillId="0" borderId="1" xfId="0" applyFont="1" applyBorder="1" applyAlignment="1" applyProtection="1"/>
    <xf numFmtId="0" fontId="21" fillId="0" borderId="1" xfId="0" applyFont="1" applyBorder="1" applyAlignment="1" applyProtection="1">
      <alignment horizontal="center" vertical="center" shrinkToFit="1"/>
    </xf>
    <xf numFmtId="0" fontId="26" fillId="0" borderId="0" xfId="0" applyFont="1" applyAlignment="1" applyProtection="1">
      <alignment horizontal="center" vertical="center" wrapText="1"/>
    </xf>
    <xf numFmtId="0" fontId="26" fillId="0" borderId="0" xfId="0" applyFont="1" applyAlignment="1" applyProtection="1">
      <alignment horizontal="center" vertical="center"/>
    </xf>
    <xf numFmtId="0" fontId="21" fillId="0" borderId="1" xfId="0" applyFont="1" applyFill="1" applyBorder="1" applyAlignment="1" applyProtection="1">
      <alignment horizontal="left" vertical="center" wrapText="1" shrinkToFit="1"/>
    </xf>
    <xf numFmtId="0" fontId="27" fillId="0" borderId="12" xfId="0" applyFont="1" applyBorder="1" applyAlignment="1" applyProtection="1">
      <alignment horizontal="center" vertical="center" wrapText="1"/>
    </xf>
    <xf numFmtId="0" fontId="27" fillId="0" borderId="17" xfId="0" applyFont="1" applyBorder="1" applyAlignment="1" applyProtection="1">
      <alignment horizontal="center" vertical="center"/>
    </xf>
    <xf numFmtId="0" fontId="27" fillId="0" borderId="18" xfId="0" applyFont="1" applyBorder="1" applyAlignment="1" applyProtection="1">
      <alignment horizontal="center" vertical="center"/>
    </xf>
    <xf numFmtId="0" fontId="27" fillId="0" borderId="19"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20" xfId="0" applyFont="1" applyBorder="1" applyAlignment="1" applyProtection="1">
      <alignment horizontal="center" vertical="center"/>
    </xf>
    <xf numFmtId="0" fontId="27" fillId="0" borderId="27" xfId="0" applyFont="1" applyBorder="1" applyAlignment="1" applyProtection="1">
      <alignment horizontal="center" vertical="center"/>
    </xf>
    <xf numFmtId="0" fontId="27" fillId="0" borderId="28" xfId="0" applyFont="1" applyBorder="1" applyAlignment="1" applyProtection="1">
      <alignment horizontal="center" vertical="center"/>
    </xf>
    <xf numFmtId="0" fontId="27" fillId="0" borderId="29" xfId="0" applyFont="1" applyBorder="1" applyAlignment="1" applyProtection="1">
      <alignment horizontal="center" vertical="center"/>
    </xf>
    <xf numFmtId="0" fontId="21" fillId="0" borderId="13" xfId="0" applyFont="1" applyFill="1" applyBorder="1" applyAlignment="1" applyProtection="1">
      <alignment horizontal="left" vertical="center" shrinkToFit="1"/>
    </xf>
    <xf numFmtId="0" fontId="21" fillId="0" borderId="14" xfId="0" applyFont="1" applyFill="1" applyBorder="1" applyAlignment="1" applyProtection="1">
      <alignment horizontal="left" vertical="center" shrinkToFit="1"/>
    </xf>
    <xf numFmtId="0" fontId="9" fillId="0" borderId="14" xfId="0" applyFont="1" applyBorder="1" applyAlignment="1" applyProtection="1">
      <alignment horizontal="left" vertical="center" shrinkToFit="1"/>
    </xf>
    <xf numFmtId="0" fontId="9" fillId="0" borderId="15" xfId="0" applyFont="1" applyBorder="1" applyAlignment="1" applyProtection="1">
      <alignment horizontal="left" vertical="center" shrinkToFit="1"/>
    </xf>
    <xf numFmtId="0" fontId="21" fillId="0" borderId="16" xfId="0" applyFont="1" applyFill="1" applyBorder="1" applyAlignment="1" applyProtection="1">
      <alignment horizontal="left" vertical="center" shrinkToFit="1"/>
    </xf>
    <xf numFmtId="0" fontId="21" fillId="0" borderId="5" xfId="0" applyFont="1" applyFill="1" applyBorder="1" applyAlignment="1" applyProtection="1">
      <alignment horizontal="left" vertical="center" shrinkToFit="1"/>
    </xf>
    <xf numFmtId="0" fontId="9" fillId="0" borderId="5" xfId="0" applyFont="1" applyBorder="1" applyAlignment="1" applyProtection="1">
      <alignment horizontal="left" vertical="center" shrinkToFit="1"/>
    </xf>
    <xf numFmtId="0" fontId="9" fillId="0" borderId="10" xfId="0" applyFont="1" applyBorder="1" applyAlignment="1" applyProtection="1">
      <alignment horizontal="left" vertical="center" shrinkToFit="1"/>
    </xf>
    <xf numFmtId="0" fontId="34" fillId="0" borderId="8" xfId="0" applyFont="1" applyBorder="1" applyAlignment="1" applyProtection="1">
      <alignment horizontal="center" vertical="center" shrinkToFit="1"/>
    </xf>
    <xf numFmtId="0" fontId="21" fillId="0" borderId="8" xfId="0" applyFont="1" applyBorder="1" applyAlignment="1" applyProtection="1">
      <alignment horizontal="center" vertical="center" shrinkToFit="1"/>
    </xf>
    <xf numFmtId="0" fontId="21" fillId="0" borderId="6" xfId="0" applyFont="1" applyBorder="1" applyAlignment="1" applyProtection="1">
      <alignment horizontal="center" vertical="center" shrinkToFit="1"/>
    </xf>
    <xf numFmtId="0" fontId="21" fillId="0" borderId="8" xfId="0" applyFont="1" applyBorder="1" applyAlignment="1" applyProtection="1">
      <alignment vertical="center" shrinkToFit="1"/>
    </xf>
    <xf numFmtId="0" fontId="34" fillId="0" borderId="6" xfId="0" applyFont="1" applyBorder="1" applyAlignment="1" applyProtection="1">
      <alignment horizontal="center" vertical="center" shrinkToFit="1"/>
    </xf>
    <xf numFmtId="0" fontId="21" fillId="0" borderId="1" xfId="0" applyFont="1" applyBorder="1" applyAlignment="1" applyProtection="1">
      <alignment vertical="center" shrinkToFit="1"/>
    </xf>
    <xf numFmtId="0" fontId="34" fillId="0" borderId="8" xfId="0" applyFont="1" applyBorder="1" applyAlignment="1" applyProtection="1">
      <alignment horizontal="center" vertical="center"/>
    </xf>
    <xf numFmtId="0" fontId="21" fillId="0" borderId="8" xfId="0" applyFont="1" applyBorder="1" applyAlignment="1" applyProtection="1">
      <alignment horizontal="center" vertical="center"/>
    </xf>
    <xf numFmtId="0" fontId="21" fillId="0" borderId="6" xfId="0" applyFont="1" applyBorder="1" applyAlignment="1" applyProtection="1">
      <alignment horizontal="center" vertical="center"/>
    </xf>
    <xf numFmtId="0" fontId="21" fillId="0" borderId="1" xfId="0" applyFont="1" applyFill="1" applyBorder="1" applyAlignment="1" applyProtection="1">
      <alignment horizontal="center" vertical="center" shrinkToFit="1"/>
    </xf>
    <xf numFmtId="0" fontId="21" fillId="0" borderId="1" xfId="0" applyFont="1" applyFill="1" applyBorder="1" applyAlignment="1" applyProtection="1">
      <alignment vertical="center" shrinkToFit="1"/>
    </xf>
    <xf numFmtId="0" fontId="33" fillId="0" borderId="1" xfId="1" applyFont="1" applyFill="1" applyBorder="1" applyAlignment="1" applyProtection="1">
      <alignment vertical="center" shrinkToFit="1"/>
    </xf>
    <xf numFmtId="0" fontId="18" fillId="0" borderId="14" xfId="0" applyFont="1" applyBorder="1" applyAlignment="1" applyProtection="1">
      <alignment horizontal="left" vertical="center"/>
    </xf>
    <xf numFmtId="0" fontId="14" fillId="0" borderId="0" xfId="0" applyFont="1" applyBorder="1" applyAlignment="1" applyProtection="1">
      <alignment horizontal="left" vertical="center"/>
    </xf>
    <xf numFmtId="0" fontId="21" fillId="0" borderId="0" xfId="0" applyFont="1" applyAlignment="1" applyProtection="1">
      <alignment shrinkToFit="1"/>
    </xf>
    <xf numFmtId="0" fontId="9" fillId="0" borderId="0" xfId="0" applyFont="1" applyAlignment="1" applyProtection="1">
      <alignment shrinkToFit="1"/>
    </xf>
    <xf numFmtId="0" fontId="9" fillId="0" borderId="0" xfId="0" applyFont="1" applyAlignment="1" applyProtection="1"/>
    <xf numFmtId="0" fontId="21" fillId="0" borderId="1" xfId="0" applyFont="1" applyBorder="1" applyAlignment="1" applyProtection="1">
      <alignment horizontal="center" vertical="center" textRotation="255" shrinkToFit="1"/>
    </xf>
    <xf numFmtId="0" fontId="21" fillId="0" borderId="1" xfId="0" applyFont="1" applyBorder="1" applyAlignment="1" applyProtection="1">
      <alignment vertical="center"/>
    </xf>
    <xf numFmtId="0" fontId="9" fillId="0" borderId="1" xfId="0" applyFont="1" applyBorder="1" applyAlignment="1" applyProtection="1">
      <alignment vertical="center"/>
    </xf>
    <xf numFmtId="0" fontId="21" fillId="4" borderId="7" xfId="0" applyFont="1" applyFill="1" applyBorder="1" applyAlignment="1" applyProtection="1">
      <alignment horizontal="left" vertical="center" shrinkToFit="1"/>
      <protection locked="0"/>
    </xf>
    <xf numFmtId="0" fontId="21" fillId="4" borderId="7" xfId="0" applyFont="1" applyFill="1" applyBorder="1" applyAlignment="1" applyProtection="1">
      <alignment vertical="center" shrinkToFit="1"/>
      <protection locked="0"/>
    </xf>
    <xf numFmtId="0" fontId="21" fillId="4" borderId="8" xfId="0" applyFont="1" applyFill="1" applyBorder="1" applyAlignment="1" applyProtection="1">
      <alignment vertical="center" shrinkToFit="1"/>
      <protection locked="0"/>
    </xf>
    <xf numFmtId="0" fontId="21" fillId="4" borderId="6" xfId="0" applyFont="1" applyFill="1" applyBorder="1" applyAlignment="1" applyProtection="1">
      <alignment vertical="center" shrinkToFit="1"/>
      <protection locked="0"/>
    </xf>
    <xf numFmtId="0" fontId="34" fillId="0" borderId="8" xfId="0" applyFont="1" applyBorder="1" applyAlignment="1" applyProtection="1">
      <alignment vertical="center" shrinkToFit="1"/>
    </xf>
    <xf numFmtId="0" fontId="21" fillId="4" borderId="7" xfId="0" applyFont="1" applyFill="1" applyBorder="1" applyAlignment="1" applyProtection="1">
      <alignment horizontal="center" vertical="center"/>
      <protection locked="0"/>
    </xf>
    <xf numFmtId="0" fontId="21" fillId="4" borderId="6" xfId="0" applyFont="1" applyFill="1" applyBorder="1" applyAlignment="1" applyProtection="1">
      <alignment horizontal="center" vertical="center"/>
      <protection locked="0"/>
    </xf>
    <xf numFmtId="0" fontId="34" fillId="0" borderId="7" xfId="0" applyFont="1" applyBorder="1" applyAlignment="1" applyProtection="1">
      <alignment vertical="center"/>
    </xf>
    <xf numFmtId="0" fontId="21" fillId="0" borderId="13" xfId="0" applyFont="1" applyBorder="1" applyAlignment="1" applyProtection="1">
      <alignment vertical="center" shrinkToFit="1"/>
    </xf>
    <xf numFmtId="0" fontId="21" fillId="0" borderId="14" xfId="0" applyFont="1" applyBorder="1" applyAlignment="1" applyProtection="1">
      <alignment vertical="center"/>
    </xf>
    <xf numFmtId="0" fontId="21" fillId="4" borderId="8" xfId="0" applyFont="1" applyFill="1" applyBorder="1" applyAlignment="1" applyProtection="1">
      <alignment horizontal="left" vertical="center" shrinkToFit="1"/>
      <protection locked="0"/>
    </xf>
    <xf numFmtId="0" fontId="41" fillId="0" borderId="0" xfId="0" applyFont="1" applyAlignment="1">
      <alignment vertical="center"/>
    </xf>
    <xf numFmtId="0" fontId="42" fillId="0" borderId="0" xfId="0" applyFont="1" applyAlignment="1">
      <alignment vertical="center"/>
    </xf>
    <xf numFmtId="191" fontId="41" fillId="0" borderId="0" xfId="0" applyNumberFormat="1" applyFont="1" applyBorder="1" applyAlignment="1">
      <alignment horizontal="center" vertical="center"/>
    </xf>
    <xf numFmtId="191" fontId="0" fillId="0" borderId="0" xfId="0" applyNumberFormat="1" applyBorder="1" applyAlignment="1">
      <alignment horizontal="center" vertical="center"/>
    </xf>
    <xf numFmtId="0" fontId="41" fillId="0" borderId="0"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41" fillId="0" borderId="0" xfId="0" applyFont="1" applyAlignment="1">
      <alignment horizontal="distributed" vertical="center" wrapText="1"/>
    </xf>
    <xf numFmtId="0" fontId="42" fillId="0" borderId="0" xfId="0" applyFont="1" applyAlignment="1">
      <alignment horizontal="distributed" vertical="center" wrapText="1"/>
    </xf>
    <xf numFmtId="0" fontId="27" fillId="0" borderId="2" xfId="0" applyFont="1" applyBorder="1" applyAlignment="1">
      <alignment horizontal="center" vertical="center"/>
    </xf>
    <xf numFmtId="0" fontId="0" fillId="0" borderId="4" xfId="0" applyBorder="1" applyAlignment="1">
      <alignment horizontal="center" vertical="center"/>
    </xf>
    <xf numFmtId="0" fontId="27" fillId="0" borderId="2" xfId="0" applyFont="1" applyBorder="1" applyAlignment="1">
      <alignment horizontal="left" vertical="center" wrapText="1"/>
    </xf>
    <xf numFmtId="0" fontId="0" fillId="0" borderId="4" xfId="0" applyBorder="1" applyAlignment="1">
      <alignment vertical="center" wrapText="1"/>
    </xf>
    <xf numFmtId="0" fontId="27" fillId="0" borderId="0" xfId="0" applyFont="1" applyBorder="1" applyAlignment="1">
      <alignment horizontal="center" vertical="center"/>
    </xf>
    <xf numFmtId="0" fontId="27" fillId="0" borderId="0" xfId="0" applyFont="1" applyBorder="1" applyAlignment="1">
      <alignment horizontal="left" vertical="center" wrapText="1"/>
    </xf>
    <xf numFmtId="0" fontId="0" fillId="0" borderId="0" xfId="0" applyBorder="1" applyAlignment="1">
      <alignment vertical="center" wrapText="1"/>
    </xf>
    <xf numFmtId="0" fontId="41" fillId="0" borderId="1" xfId="0" applyFont="1" applyBorder="1" applyAlignment="1">
      <alignment horizontal="distributed" vertical="center"/>
    </xf>
    <xf numFmtId="0" fontId="0" fillId="0" borderId="1" xfId="0" applyBorder="1" applyAlignment="1">
      <alignment horizontal="distributed" vertical="center"/>
    </xf>
    <xf numFmtId="0" fontId="41" fillId="0" borderId="1" xfId="0" applyFont="1" applyBorder="1" applyAlignment="1">
      <alignment horizontal="center" vertical="center"/>
    </xf>
    <xf numFmtId="0" fontId="0" fillId="0" borderId="1" xfId="0" applyBorder="1" applyAlignment="1">
      <alignment horizontal="center" vertical="center"/>
    </xf>
    <xf numFmtId="49" fontId="41" fillId="5" borderId="1" xfId="0" applyNumberFormat="1" applyFont="1" applyFill="1" applyBorder="1" applyAlignment="1" applyProtection="1">
      <alignment horizontal="center" vertical="center"/>
      <protection locked="0"/>
    </xf>
    <xf numFmtId="49" fontId="0" fillId="5" borderId="1" xfId="0" applyNumberFormat="1" applyFill="1" applyBorder="1" applyAlignment="1" applyProtection="1">
      <alignment horizontal="center" vertical="center"/>
      <protection locked="0"/>
    </xf>
    <xf numFmtId="0" fontId="43" fillId="0" borderId="0" xfId="0" applyFont="1" applyAlignment="1">
      <alignment horizontal="center" vertical="center"/>
    </xf>
    <xf numFmtId="0" fontId="25" fillId="0" borderId="0" xfId="0" applyFont="1" applyAlignment="1">
      <alignment horizontal="center" vertical="center"/>
    </xf>
    <xf numFmtId="0" fontId="41" fillId="0" borderId="0" xfId="0" applyFont="1" applyAlignment="1">
      <alignment vertical="center" wrapText="1"/>
    </xf>
    <xf numFmtId="0" fontId="0" fillId="0" borderId="0" xfId="0" applyAlignment="1">
      <alignment vertical="center" wrapText="1"/>
    </xf>
    <xf numFmtId="0" fontId="41" fillId="0" borderId="0" xfId="0" applyFont="1" applyAlignment="1">
      <alignment horizontal="center" vertical="center"/>
    </xf>
    <xf numFmtId="0" fontId="0" fillId="0" borderId="0" xfId="0" applyAlignment="1">
      <alignment horizontal="center" vertical="center"/>
    </xf>
    <xf numFmtId="187" fontId="9" fillId="0" borderId="0" xfId="0" applyNumberFormat="1" applyFont="1" applyFill="1" applyAlignment="1">
      <alignment horizontal="distributed" vertical="top" wrapText="1"/>
    </xf>
    <xf numFmtId="0" fontId="0" fillId="0" borderId="0" xfId="0" applyAlignment="1">
      <alignment horizontal="distributed" vertical="top" wrapText="1"/>
    </xf>
    <xf numFmtId="0" fontId="0" fillId="0" borderId="0" xfId="0" applyAlignment="1">
      <alignment vertical="top" wrapText="1"/>
    </xf>
    <xf numFmtId="188" fontId="9" fillId="0" borderId="0" xfId="0" applyNumberFormat="1" applyFont="1" applyFill="1" applyAlignment="1">
      <alignment horizontal="distributed" vertical="top" wrapText="1"/>
    </xf>
    <xf numFmtId="191" fontId="39" fillId="0" borderId="0" xfId="0" applyNumberFormat="1" applyFont="1" applyBorder="1" applyAlignment="1">
      <alignment horizontal="right" vertical="center" shrinkToFit="1"/>
    </xf>
    <xf numFmtId="191" fontId="8" fillId="0" borderId="0" xfId="0" applyNumberFormat="1" applyFont="1" applyBorder="1" applyAlignment="1">
      <alignment horizontal="right" vertical="center" shrinkToFit="1"/>
    </xf>
    <xf numFmtId="0" fontId="39" fillId="0" borderId="0" xfId="0" applyFont="1" applyBorder="1" applyAlignment="1">
      <alignment horizontal="center" vertical="center" shrinkToFit="1"/>
    </xf>
    <xf numFmtId="0" fontId="8" fillId="0" borderId="0" xfId="0" applyFont="1" applyBorder="1" applyAlignment="1">
      <alignment horizontal="center" vertical="center" shrinkToFit="1"/>
    </xf>
    <xf numFmtId="0" fontId="39" fillId="0" borderId="0" xfId="0" applyFont="1" applyAlignment="1">
      <alignment horizontal="left" vertical="center" wrapText="1"/>
    </xf>
    <xf numFmtId="0" fontId="9" fillId="0" borderId="0" xfId="0" applyFont="1" applyAlignment="1">
      <alignment horizontal="center" vertical="center" shrinkToFit="1"/>
    </xf>
    <xf numFmtId="0" fontId="9" fillId="0" borderId="0" xfId="0" applyFont="1" applyAlignment="1">
      <alignment horizontal="left" vertical="center" indent="1"/>
    </xf>
    <xf numFmtId="0" fontId="9" fillId="0" borderId="0" xfId="0" applyFont="1" applyAlignment="1">
      <alignment horizontal="left" vertical="distributed" wrapText="1"/>
    </xf>
    <xf numFmtId="0" fontId="11" fillId="0" borderId="0" xfId="0" applyFont="1" applyAlignment="1">
      <alignment horizontal="left" vertical="center" wrapText="1"/>
    </xf>
    <xf numFmtId="0" fontId="10" fillId="0" borderId="0" xfId="0" applyFont="1" applyAlignment="1">
      <alignment vertical="center" wrapText="1"/>
    </xf>
    <xf numFmtId="0" fontId="11" fillId="0" borderId="0" xfId="0" applyFont="1" applyAlignment="1">
      <alignment horizontal="left" vertical="distributed" wrapText="1"/>
    </xf>
    <xf numFmtId="0" fontId="10" fillId="0" borderId="0" xfId="0" applyFont="1" applyAlignment="1">
      <alignment vertical="distributed" wrapText="1"/>
    </xf>
    <xf numFmtId="0" fontId="36" fillId="0" borderId="0" xfId="0" applyFont="1" applyAlignment="1">
      <alignment vertical="top" wrapText="1"/>
    </xf>
    <xf numFmtId="0" fontId="37" fillId="0" borderId="0" xfId="0" applyFont="1" applyAlignment="1">
      <alignment vertical="top" wrapText="1"/>
    </xf>
    <xf numFmtId="176" fontId="29" fillId="3" borderId="0" xfId="0" applyNumberFormat="1" applyFont="1" applyFill="1" applyBorder="1" applyAlignment="1">
      <alignment horizontal="center" vertical="center" wrapText="1"/>
    </xf>
    <xf numFmtId="0" fontId="28" fillId="3" borderId="0" xfId="0" applyFont="1" applyFill="1" applyBorder="1" applyAlignment="1">
      <alignment vertical="center" shrinkToFit="1"/>
    </xf>
    <xf numFmtId="0" fontId="0" fillId="0" borderId="0" xfId="0" applyBorder="1" applyAlignment="1">
      <alignment vertical="center"/>
    </xf>
    <xf numFmtId="0" fontId="9" fillId="0" borderId="0" xfId="0" applyFont="1" applyAlignment="1">
      <alignment horizontal="left" vertical="top" wrapText="1"/>
    </xf>
    <xf numFmtId="0" fontId="9" fillId="0" borderId="0" xfId="0" applyFont="1" applyAlignment="1">
      <alignment vertical="center"/>
    </xf>
    <xf numFmtId="0" fontId="28" fillId="3" borderId="0" xfId="0" applyFont="1" applyFill="1" applyBorder="1" applyAlignment="1">
      <alignment vertical="center" wrapText="1" shrinkToFit="1"/>
    </xf>
    <xf numFmtId="0" fontId="9" fillId="0" borderId="0" xfId="0" applyFont="1" applyBorder="1" applyAlignment="1">
      <alignment vertical="center"/>
    </xf>
    <xf numFmtId="0" fontId="28" fillId="3" borderId="0" xfId="0" applyFont="1" applyFill="1" applyBorder="1" applyAlignment="1">
      <alignment horizontal="center" vertical="center"/>
    </xf>
    <xf numFmtId="0" fontId="9" fillId="0" borderId="0" xfId="0" applyFont="1" applyBorder="1" applyAlignment="1">
      <alignment vertical="center" wrapText="1"/>
    </xf>
    <xf numFmtId="0" fontId="28" fillId="3" borderId="0" xfId="0" applyFont="1" applyFill="1" applyBorder="1" applyAlignment="1">
      <alignment horizontal="center" vertical="center" shrinkToFit="1"/>
    </xf>
    <xf numFmtId="177" fontId="9" fillId="0" borderId="0" xfId="0" applyNumberFormat="1" applyFont="1" applyAlignment="1">
      <alignment horizontal="distributed" vertical="center"/>
    </xf>
    <xf numFmtId="0" fontId="0" fillId="0" borderId="0" xfId="0" applyAlignment="1">
      <alignment horizontal="distributed" vertical="center"/>
    </xf>
    <xf numFmtId="0" fontId="9" fillId="0" borderId="0" xfId="0" applyFont="1" applyAlignment="1">
      <alignment horizontal="distributed"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Fill="1" applyAlignment="1">
      <alignment horizontal="left" vertical="center" shrinkToFit="1"/>
    </xf>
    <xf numFmtId="0" fontId="9" fillId="0" borderId="0" xfId="0" applyFont="1" applyAlignment="1">
      <alignment horizontal="left" vertical="center" shrinkToFit="1"/>
    </xf>
    <xf numFmtId="0" fontId="13" fillId="0" borderId="0" xfId="0" applyFont="1" applyAlignment="1" applyProtection="1">
      <alignment horizontal="distributed" shrinkToFit="1"/>
      <protection locked="0"/>
    </xf>
    <xf numFmtId="0" fontId="9" fillId="0" borderId="0" xfId="0" applyFont="1" applyAlignment="1" applyProtection="1">
      <alignment horizontal="distributed" shrinkToFit="1"/>
      <protection locked="0"/>
    </xf>
    <xf numFmtId="0" fontId="9" fillId="0" borderId="0" xfId="0" applyFont="1" applyAlignment="1">
      <alignment horizontal="distributed" shrinkToFit="1"/>
    </xf>
    <xf numFmtId="0" fontId="9" fillId="0" borderId="2" xfId="0" applyFont="1" applyBorder="1" applyAlignment="1" applyProtection="1">
      <alignment horizontal="center" vertical="center"/>
    </xf>
    <xf numFmtId="0" fontId="9" fillId="0" borderId="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0" fillId="0" borderId="4" xfId="0" applyBorder="1" applyAlignment="1">
      <alignment horizontal="left" vertical="center" wrapText="1"/>
    </xf>
    <xf numFmtId="192" fontId="9" fillId="0" borderId="0" xfId="0" applyNumberFormat="1" applyFont="1" applyBorder="1" applyAlignment="1" applyProtection="1">
      <alignment horizontal="right" vertical="center" shrinkToFit="1"/>
    </xf>
    <xf numFmtId="192" fontId="0" fillId="0" borderId="0" xfId="0" applyNumberFormat="1" applyBorder="1" applyAlignment="1">
      <alignment horizontal="right" vertical="center" shrinkToFit="1"/>
    </xf>
    <xf numFmtId="0" fontId="9" fillId="0" borderId="0" xfId="0" applyFont="1" applyBorder="1" applyAlignment="1" applyProtection="1">
      <alignment horizontal="center" vertical="center" shrinkToFit="1"/>
    </xf>
    <xf numFmtId="0" fontId="0" fillId="0" borderId="0" xfId="0" applyAlignment="1" applyProtection="1">
      <alignment vertical="center" shrinkToFit="1"/>
    </xf>
    <xf numFmtId="177" fontId="9" fillId="0" borderId="5" xfId="0" applyNumberFormat="1" applyFont="1" applyFill="1" applyBorder="1" applyAlignment="1" applyProtection="1">
      <alignment horizontal="center" vertical="center"/>
    </xf>
    <xf numFmtId="0" fontId="9" fillId="0" borderId="0" xfId="0" applyFont="1" applyAlignment="1" applyProtection="1">
      <alignment horizontal="center" vertical="center"/>
    </xf>
    <xf numFmtId="0" fontId="9" fillId="0" borderId="4" xfId="0" applyFont="1" applyBorder="1" applyAlignment="1" applyProtection="1">
      <alignment horizontal="left" vertical="center" wrapText="1"/>
    </xf>
    <xf numFmtId="0" fontId="13" fillId="0" borderId="13" xfId="0" applyFont="1" applyBorder="1" applyAlignment="1">
      <alignment horizontal="center" vertical="center" wrapText="1"/>
    </xf>
    <xf numFmtId="0" fontId="0" fillId="0" borderId="14" xfId="0" applyBorder="1" applyAlignment="1">
      <alignment vertical="center"/>
    </xf>
    <xf numFmtId="0" fontId="0" fillId="0" borderId="15" xfId="0" applyBorder="1" applyAlignment="1">
      <alignment vertical="center"/>
    </xf>
    <xf numFmtId="0" fontId="13" fillId="0" borderId="11" xfId="0" applyFont="1" applyBorder="1" applyAlignment="1">
      <alignment horizontal="center" vertical="center" wrapText="1"/>
    </xf>
    <xf numFmtId="0" fontId="0" fillId="0" borderId="9" xfId="0" applyBorder="1" applyAlignment="1">
      <alignment vertical="center"/>
    </xf>
    <xf numFmtId="0" fontId="0" fillId="0" borderId="16"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13" fillId="0" borderId="1" xfId="0"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21" fillId="4" borderId="13" xfId="0" applyFont="1" applyFill="1" applyBorder="1" applyAlignment="1" applyProtection="1">
      <alignment vertical="center" wrapText="1"/>
      <protection locked="0"/>
    </xf>
    <xf numFmtId="0" fontId="21" fillId="4" borderId="14" xfId="0" applyFont="1" applyFill="1" applyBorder="1" applyAlignment="1" applyProtection="1">
      <alignment vertical="center"/>
      <protection locked="0"/>
    </xf>
    <xf numFmtId="0" fontId="21" fillId="4" borderId="15" xfId="0" applyFont="1" applyFill="1" applyBorder="1" applyAlignment="1" applyProtection="1">
      <alignment vertical="center"/>
      <protection locked="0"/>
    </xf>
    <xf numFmtId="0" fontId="21" fillId="4" borderId="11" xfId="0" applyFont="1" applyFill="1" applyBorder="1" applyAlignment="1" applyProtection="1">
      <alignment vertical="center"/>
      <protection locked="0"/>
    </xf>
    <xf numFmtId="0" fontId="21" fillId="4" borderId="0" xfId="0" applyFont="1" applyFill="1" applyBorder="1" applyAlignment="1" applyProtection="1">
      <alignment vertical="center"/>
      <protection locked="0"/>
    </xf>
    <xf numFmtId="0" fontId="21" fillId="4" borderId="9" xfId="0" applyFont="1" applyFill="1" applyBorder="1" applyAlignment="1" applyProtection="1">
      <alignment vertical="center"/>
      <protection locked="0"/>
    </xf>
    <xf numFmtId="0" fontId="21" fillId="4" borderId="16" xfId="0" applyFont="1" applyFill="1" applyBorder="1" applyAlignment="1" applyProtection="1">
      <alignment vertical="center"/>
      <protection locked="0"/>
    </xf>
    <xf numFmtId="0" fontId="21" fillId="4" borderId="5" xfId="0" applyFont="1" applyFill="1" applyBorder="1" applyAlignment="1" applyProtection="1">
      <alignment vertical="center"/>
      <protection locked="0"/>
    </xf>
    <xf numFmtId="0" fontId="21" fillId="4" borderId="10" xfId="0" applyFont="1" applyFill="1" applyBorder="1" applyAlignment="1" applyProtection="1">
      <alignment vertical="center"/>
      <protection locked="0"/>
    </xf>
    <xf numFmtId="0" fontId="26" fillId="0" borderId="0" xfId="0" applyFont="1" applyAlignment="1">
      <alignment horizontal="left" vertical="center" shrinkToFit="1"/>
    </xf>
    <xf numFmtId="0" fontId="26" fillId="0" borderId="0" xfId="0" applyFont="1" applyAlignment="1">
      <alignment vertical="center" shrinkToFit="1"/>
    </xf>
    <xf numFmtId="180" fontId="20" fillId="0" borderId="33" xfId="0" applyNumberFormat="1" applyFont="1" applyFill="1" applyBorder="1" applyAlignment="1">
      <alignment horizontal="right" vertical="center"/>
    </xf>
    <xf numFmtId="0" fontId="40" fillId="0" borderId="33" xfId="0" applyFont="1" applyFill="1" applyBorder="1" applyAlignment="1">
      <alignment horizontal="right" vertical="center"/>
    </xf>
    <xf numFmtId="0" fontId="40" fillId="0" borderId="4" xfId="0" applyFont="1" applyFill="1" applyBorder="1" applyAlignment="1">
      <alignment horizontal="right" vertical="center"/>
    </xf>
    <xf numFmtId="0" fontId="20" fillId="0" borderId="33" xfId="0" applyFont="1" applyFill="1" applyBorder="1" applyAlignment="1">
      <alignment horizontal="center" vertical="center"/>
    </xf>
    <xf numFmtId="0" fontId="40" fillId="0" borderId="33" xfId="0" applyFont="1" applyFill="1" applyBorder="1" applyAlignment="1">
      <alignment horizontal="center" vertical="center"/>
    </xf>
    <xf numFmtId="0" fontId="40" fillId="0" borderId="4" xfId="0" applyFont="1" applyFill="1" applyBorder="1" applyAlignment="1">
      <alignment horizontal="center" vertical="center"/>
    </xf>
    <xf numFmtId="181" fontId="20" fillId="0" borderId="33" xfId="0" applyNumberFormat="1" applyFont="1"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0" fillId="0" borderId="9" xfId="0" applyBorder="1" applyAlignment="1">
      <alignment vertical="center" wrapText="1"/>
    </xf>
    <xf numFmtId="0" fontId="0" fillId="0" borderId="16" xfId="0" applyBorder="1" applyAlignment="1">
      <alignment vertical="center" wrapText="1"/>
    </xf>
    <xf numFmtId="0" fontId="0" fillId="0" borderId="5" xfId="0" applyBorder="1" applyAlignment="1">
      <alignment vertical="center" wrapText="1"/>
    </xf>
    <xf numFmtId="0" fontId="0" fillId="0" borderId="10" xfId="0" applyBorder="1" applyAlignment="1">
      <alignment vertical="center" wrapText="1"/>
    </xf>
    <xf numFmtId="0" fontId="21" fillId="0" borderId="0" xfId="0" applyFont="1" applyAlignment="1">
      <alignment vertical="center" wrapText="1"/>
    </xf>
    <xf numFmtId="0" fontId="17" fillId="0" borderId="0" xfId="0" applyFont="1" applyAlignment="1">
      <alignment vertical="center" wrapText="1"/>
    </xf>
    <xf numFmtId="181" fontId="20" fillId="4" borderId="13" xfId="0" applyNumberFormat="1" applyFont="1" applyFill="1" applyBorder="1" applyAlignment="1" applyProtection="1">
      <alignment vertical="center"/>
      <protection locked="0"/>
    </xf>
    <xf numFmtId="181" fontId="40" fillId="4" borderId="14" xfId="0" applyNumberFormat="1" applyFont="1" applyFill="1" applyBorder="1" applyAlignment="1" applyProtection="1">
      <alignment vertical="center"/>
      <protection locked="0"/>
    </xf>
    <xf numFmtId="181" fontId="40" fillId="4" borderId="15" xfId="0" applyNumberFormat="1" applyFont="1" applyFill="1" applyBorder="1" applyAlignment="1" applyProtection="1">
      <alignment vertical="center"/>
      <protection locked="0"/>
    </xf>
    <xf numFmtId="181" fontId="40" fillId="4" borderId="16" xfId="0" applyNumberFormat="1" applyFont="1" applyFill="1" applyBorder="1" applyAlignment="1" applyProtection="1">
      <alignment vertical="center"/>
      <protection locked="0"/>
    </xf>
    <xf numFmtId="181" fontId="40" fillId="4" borderId="5" xfId="0" applyNumberFormat="1" applyFont="1" applyFill="1" applyBorder="1" applyAlignment="1" applyProtection="1">
      <alignment vertical="center"/>
      <protection locked="0"/>
    </xf>
    <xf numFmtId="181" fontId="40" fillId="4" borderId="10" xfId="0" applyNumberFormat="1" applyFont="1" applyFill="1" applyBorder="1" applyAlignment="1" applyProtection="1">
      <alignment vertical="center"/>
      <protection locked="0"/>
    </xf>
    <xf numFmtId="184" fontId="20" fillId="4" borderId="13" xfId="0" applyNumberFormat="1" applyFont="1" applyFill="1" applyBorder="1" applyAlignment="1" applyProtection="1">
      <alignment vertical="center"/>
      <protection locked="0"/>
    </xf>
    <xf numFmtId="184" fontId="40" fillId="4" borderId="14" xfId="0" applyNumberFormat="1" applyFont="1" applyFill="1" applyBorder="1" applyAlignment="1" applyProtection="1">
      <alignment vertical="center"/>
      <protection locked="0"/>
    </xf>
    <xf numFmtId="184" fontId="40" fillId="4" borderId="15" xfId="0" applyNumberFormat="1" applyFont="1" applyFill="1" applyBorder="1" applyAlignment="1" applyProtection="1">
      <alignment vertical="center"/>
      <protection locked="0"/>
    </xf>
    <xf numFmtId="184" fontId="40" fillId="4" borderId="16" xfId="0" applyNumberFormat="1" applyFont="1" applyFill="1" applyBorder="1" applyAlignment="1" applyProtection="1">
      <alignment vertical="center"/>
      <protection locked="0"/>
    </xf>
    <xf numFmtId="184" fontId="40" fillId="4" borderId="5" xfId="0" applyNumberFormat="1" applyFont="1" applyFill="1" applyBorder="1" applyAlignment="1" applyProtection="1">
      <alignment vertical="center"/>
      <protection locked="0"/>
    </xf>
    <xf numFmtId="184" fontId="40" fillId="4" borderId="10" xfId="0" applyNumberFormat="1" applyFont="1" applyFill="1" applyBorder="1" applyAlignment="1" applyProtection="1">
      <alignment vertical="center"/>
      <protection locked="0"/>
    </xf>
    <xf numFmtId="185" fontId="20" fillId="0" borderId="13" xfId="0" applyNumberFormat="1" applyFont="1" applyBorder="1" applyAlignment="1">
      <alignment vertical="center"/>
    </xf>
    <xf numFmtId="185" fontId="40" fillId="0" borderId="14" xfId="0" applyNumberFormat="1" applyFont="1" applyBorder="1" applyAlignment="1">
      <alignment vertical="center"/>
    </xf>
    <xf numFmtId="185" fontId="40" fillId="0" borderId="15" xfId="0" applyNumberFormat="1" applyFont="1" applyBorder="1" applyAlignment="1">
      <alignment vertical="center"/>
    </xf>
    <xf numFmtId="185" fontId="40" fillId="0" borderId="16" xfId="0" applyNumberFormat="1" applyFont="1" applyBorder="1" applyAlignment="1">
      <alignment vertical="center"/>
    </xf>
    <xf numFmtId="185" fontId="40" fillId="0" borderId="5" xfId="0" applyNumberFormat="1" applyFont="1" applyBorder="1" applyAlignment="1">
      <alignment vertical="center"/>
    </xf>
    <xf numFmtId="185" fontId="40" fillId="0" borderId="10" xfId="0" applyNumberFormat="1" applyFont="1" applyBorder="1" applyAlignment="1">
      <alignment vertical="center"/>
    </xf>
    <xf numFmtId="181" fontId="20" fillId="0" borderId="13" xfId="0" applyNumberFormat="1" applyFont="1" applyFill="1" applyBorder="1" applyAlignment="1">
      <alignment vertical="center"/>
    </xf>
    <xf numFmtId="0" fontId="40" fillId="0" borderId="14" xfId="0" applyFont="1" applyFill="1" applyBorder="1" applyAlignment="1">
      <alignment vertical="center"/>
    </xf>
    <xf numFmtId="0" fontId="40" fillId="0" borderId="15" xfId="0" applyFont="1" applyFill="1" applyBorder="1" applyAlignment="1">
      <alignment vertical="center"/>
    </xf>
    <xf numFmtId="0" fontId="40" fillId="0" borderId="16" xfId="0" applyFont="1" applyFill="1" applyBorder="1" applyAlignment="1">
      <alignment vertical="center"/>
    </xf>
    <xf numFmtId="0" fontId="40" fillId="0" borderId="5" xfId="0" applyFont="1" applyFill="1" applyBorder="1" applyAlignment="1">
      <alignment vertical="center"/>
    </xf>
    <xf numFmtId="0" fontId="40" fillId="0" borderId="10" xfId="0" applyFont="1" applyFill="1" applyBorder="1" applyAlignment="1">
      <alignment vertical="center"/>
    </xf>
    <xf numFmtId="0" fontId="20" fillId="4" borderId="1" xfId="0" applyFont="1" applyFill="1" applyBorder="1" applyAlignment="1" applyProtection="1">
      <alignment horizontal="center" vertical="center" wrapText="1"/>
      <protection locked="0"/>
    </xf>
    <xf numFmtId="180" fontId="20" fillId="4" borderId="1" xfId="0" applyNumberFormat="1" applyFont="1" applyFill="1" applyBorder="1" applyAlignment="1" applyProtection="1">
      <alignment horizontal="right" vertical="center"/>
      <protection locked="0"/>
    </xf>
    <xf numFmtId="181" fontId="20" fillId="4" borderId="1" xfId="0" applyNumberFormat="1" applyFont="1" applyFill="1" applyBorder="1" applyAlignment="1" applyProtection="1">
      <alignment horizontal="right" vertical="center"/>
      <protection locked="0"/>
    </xf>
    <xf numFmtId="181" fontId="20" fillId="0" borderId="1" xfId="0" applyNumberFormat="1" applyFont="1" applyFill="1" applyBorder="1" applyAlignment="1">
      <alignment horizontal="right" vertical="center"/>
    </xf>
    <xf numFmtId="0" fontId="20" fillId="0" borderId="30" xfId="0" applyFont="1" applyFill="1" applyBorder="1" applyAlignment="1">
      <alignment horizontal="center" vertical="center"/>
    </xf>
    <xf numFmtId="0" fontId="40" fillId="0" borderId="31" xfId="0" applyFont="1" applyBorder="1" applyAlignment="1">
      <alignment horizontal="center" vertical="center"/>
    </xf>
    <xf numFmtId="0" fontId="40" fillId="0" borderId="32" xfId="0" applyFont="1" applyBorder="1" applyAlignment="1">
      <alignment horizontal="center" vertical="center"/>
    </xf>
    <xf numFmtId="0" fontId="40" fillId="0" borderId="16" xfId="0" applyFont="1" applyBorder="1" applyAlignment="1">
      <alignment horizontal="center" vertical="center"/>
    </xf>
    <xf numFmtId="0" fontId="40" fillId="0" borderId="5" xfId="0" applyFont="1" applyBorder="1" applyAlignment="1">
      <alignment horizontal="center" vertical="center"/>
    </xf>
    <xf numFmtId="0" fontId="40" fillId="0" borderId="10" xfId="0" applyFont="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20" fillId="0" borderId="2" xfId="0" applyFont="1" applyFill="1" applyBorder="1" applyAlignment="1">
      <alignment horizontal="center" vertical="center" wrapText="1"/>
    </xf>
    <xf numFmtId="0" fontId="40" fillId="0" borderId="2" xfId="0" applyFont="1" applyFill="1" applyBorder="1" applyAlignment="1">
      <alignment vertical="center"/>
    </xf>
    <xf numFmtId="0" fontId="40" fillId="0" borderId="4" xfId="0" applyFont="1" applyFill="1" applyBorder="1" applyAlignment="1">
      <alignment vertical="center"/>
    </xf>
    <xf numFmtId="179" fontId="20" fillId="0" borderId="2" xfId="0" applyNumberFormat="1" applyFont="1" applyFill="1" applyBorder="1" applyAlignment="1">
      <alignment horizontal="right" vertical="center"/>
    </xf>
    <xf numFmtId="0" fontId="40" fillId="0" borderId="2" xfId="0" applyFont="1" applyBorder="1" applyAlignment="1">
      <alignment horizontal="right" vertical="center"/>
    </xf>
    <xf numFmtId="0" fontId="40" fillId="0" borderId="4" xfId="0" applyFont="1" applyBorder="1" applyAlignment="1">
      <alignment horizontal="right" vertical="center"/>
    </xf>
    <xf numFmtId="181" fontId="20" fillId="0" borderId="2" xfId="0" applyNumberFormat="1" applyFont="1" applyFill="1" applyBorder="1" applyAlignment="1">
      <alignment horizontal="right" vertical="center"/>
    </xf>
    <xf numFmtId="0" fontId="40" fillId="0" borderId="2" xfId="0" applyFont="1" applyFill="1" applyBorder="1" applyAlignment="1">
      <alignment horizontal="right" vertical="center"/>
    </xf>
    <xf numFmtId="0" fontId="26" fillId="0" borderId="0" xfId="0" applyFont="1" applyAlignment="1">
      <alignment horizontal="left" vertical="center"/>
    </xf>
    <xf numFmtId="0" fontId="26" fillId="0" borderId="0" xfId="0" applyFont="1" applyAlignment="1">
      <alignment vertical="center"/>
    </xf>
    <xf numFmtId="0" fontId="13" fillId="0" borderId="13" xfId="0" applyFont="1" applyBorder="1" applyAlignment="1">
      <alignment horizontal="center" vertical="center"/>
    </xf>
    <xf numFmtId="0" fontId="20" fillId="0" borderId="13"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0" xfId="0" applyFont="1" applyFill="1" applyBorder="1" applyAlignment="1">
      <alignment horizontal="center" vertical="center" wrapText="1"/>
    </xf>
    <xf numFmtId="179" fontId="20" fillId="5" borderId="13" xfId="0" applyNumberFormat="1" applyFont="1" applyFill="1" applyBorder="1" applyAlignment="1" applyProtection="1">
      <alignment horizontal="right" vertical="center"/>
      <protection locked="0"/>
    </xf>
    <xf numFmtId="179" fontId="40" fillId="5" borderId="14" xfId="0" applyNumberFormat="1" applyFont="1" applyFill="1" applyBorder="1" applyAlignment="1" applyProtection="1">
      <alignment horizontal="right" vertical="center"/>
      <protection locked="0"/>
    </xf>
    <xf numFmtId="179" fontId="40" fillId="5" borderId="15" xfId="0" applyNumberFormat="1" applyFont="1" applyFill="1" applyBorder="1" applyAlignment="1" applyProtection="1">
      <alignment horizontal="right" vertical="center"/>
      <protection locked="0"/>
    </xf>
    <xf numFmtId="179" fontId="40" fillId="5" borderId="16" xfId="0" applyNumberFormat="1" applyFont="1" applyFill="1" applyBorder="1" applyAlignment="1" applyProtection="1">
      <alignment horizontal="right" vertical="center"/>
      <protection locked="0"/>
    </xf>
    <xf numFmtId="179" fontId="40" fillId="5" borderId="5" xfId="0" applyNumberFormat="1" applyFont="1" applyFill="1" applyBorder="1" applyAlignment="1" applyProtection="1">
      <alignment horizontal="right" vertical="center"/>
      <protection locked="0"/>
    </xf>
    <xf numFmtId="179" fontId="40" fillId="5" borderId="10" xfId="0" applyNumberFormat="1" applyFont="1" applyFill="1" applyBorder="1" applyAlignment="1" applyProtection="1">
      <alignment horizontal="right" vertical="center"/>
      <protection locked="0"/>
    </xf>
    <xf numFmtId="179" fontId="20" fillId="0" borderId="13" xfId="0" applyNumberFormat="1" applyFont="1" applyFill="1" applyBorder="1" applyAlignment="1">
      <alignment horizontal="right" vertical="center"/>
    </xf>
    <xf numFmtId="0" fontId="40" fillId="0" borderId="14" xfId="0" applyFont="1" applyBorder="1" applyAlignment="1">
      <alignment horizontal="right" vertical="center"/>
    </xf>
    <xf numFmtId="0" fontId="40" fillId="0" borderId="15" xfId="0" applyFont="1" applyBorder="1" applyAlignment="1">
      <alignment horizontal="right" vertical="center"/>
    </xf>
    <xf numFmtId="0" fontId="40" fillId="0" borderId="16" xfId="0" applyFont="1" applyBorder="1" applyAlignment="1">
      <alignment horizontal="right" vertical="center"/>
    </xf>
    <xf numFmtId="0" fontId="40" fillId="0" borderId="5" xfId="0" applyFont="1" applyBorder="1" applyAlignment="1">
      <alignment horizontal="right" vertical="center"/>
    </xf>
    <xf numFmtId="0" fontId="40" fillId="0" borderId="10" xfId="0" applyFont="1" applyBorder="1" applyAlignment="1">
      <alignment horizontal="right" vertical="center"/>
    </xf>
    <xf numFmtId="0" fontId="20" fillId="5" borderId="13" xfId="0" applyFont="1" applyFill="1" applyBorder="1" applyAlignment="1" applyProtection="1">
      <alignment horizontal="center" vertical="center" wrapText="1"/>
      <protection locked="0"/>
    </xf>
    <xf numFmtId="0" fontId="40" fillId="5" borderId="14" xfId="0" applyFont="1" applyFill="1" applyBorder="1" applyAlignment="1" applyProtection="1">
      <alignment vertical="center"/>
      <protection locked="0"/>
    </xf>
    <xf numFmtId="0" fontId="40" fillId="5" borderId="15" xfId="0" applyFont="1" applyFill="1" applyBorder="1" applyAlignment="1" applyProtection="1">
      <alignment vertical="center"/>
      <protection locked="0"/>
    </xf>
    <xf numFmtId="0" fontId="40" fillId="5" borderId="16" xfId="0" applyFont="1" applyFill="1" applyBorder="1" applyAlignment="1" applyProtection="1">
      <alignment vertical="center"/>
      <protection locked="0"/>
    </xf>
    <xf numFmtId="0" fontId="40" fillId="5" borderId="5" xfId="0" applyFont="1" applyFill="1" applyBorder="1" applyAlignment="1" applyProtection="1">
      <alignment vertical="center"/>
      <protection locked="0"/>
    </xf>
    <xf numFmtId="0" fontId="40" fillId="5" borderId="10" xfId="0" applyFont="1" applyFill="1" applyBorder="1" applyAlignment="1" applyProtection="1">
      <alignment vertical="center"/>
      <protection locked="0"/>
    </xf>
    <xf numFmtId="176" fontId="20" fillId="5" borderId="13" xfId="0" applyNumberFormat="1" applyFont="1" applyFill="1" applyBorder="1" applyAlignment="1" applyProtection="1">
      <alignment horizontal="right" vertical="center"/>
      <protection locked="0"/>
    </xf>
    <xf numFmtId="176" fontId="40" fillId="5" borderId="14" xfId="0" applyNumberFormat="1" applyFont="1" applyFill="1" applyBorder="1" applyAlignment="1" applyProtection="1">
      <alignment vertical="center"/>
      <protection locked="0"/>
    </xf>
    <xf numFmtId="176" fontId="40" fillId="5" borderId="15" xfId="0" applyNumberFormat="1" applyFont="1" applyFill="1" applyBorder="1" applyAlignment="1" applyProtection="1">
      <alignment vertical="center"/>
      <protection locked="0"/>
    </xf>
    <xf numFmtId="176" fontId="40" fillId="5" borderId="16" xfId="0" applyNumberFormat="1" applyFont="1" applyFill="1" applyBorder="1" applyAlignment="1" applyProtection="1">
      <alignment vertical="center"/>
      <protection locked="0"/>
    </xf>
    <xf numFmtId="176" fontId="40" fillId="5" borderId="5" xfId="0" applyNumberFormat="1" applyFont="1" applyFill="1" applyBorder="1" applyAlignment="1" applyProtection="1">
      <alignment vertical="center"/>
      <protection locked="0"/>
    </xf>
    <xf numFmtId="176" fontId="40" fillId="5" borderId="10" xfId="0" applyNumberFormat="1" applyFont="1" applyFill="1" applyBorder="1" applyAlignment="1" applyProtection="1">
      <alignment vertical="center"/>
      <protection locked="0"/>
    </xf>
    <xf numFmtId="0" fontId="27" fillId="0" borderId="0" xfId="0" applyFont="1" applyAlignment="1">
      <alignment horizontal="center" vertical="center"/>
    </xf>
    <xf numFmtId="0" fontId="27" fillId="0" borderId="0" xfId="0" applyFont="1" applyAlignment="1">
      <alignment vertical="center"/>
    </xf>
    <xf numFmtId="0" fontId="20" fillId="5" borderId="14" xfId="0" applyFont="1" applyFill="1" applyBorder="1" applyAlignment="1" applyProtection="1">
      <alignment horizontal="center" vertical="center" wrapText="1"/>
      <protection locked="0"/>
    </xf>
    <xf numFmtId="0" fontId="20" fillId="5" borderId="15" xfId="0" applyFont="1" applyFill="1" applyBorder="1" applyAlignment="1" applyProtection="1">
      <alignment horizontal="center" vertical="center" wrapText="1"/>
      <protection locked="0"/>
    </xf>
    <xf numFmtId="0" fontId="20" fillId="5" borderId="11" xfId="0" applyFont="1" applyFill="1" applyBorder="1" applyAlignment="1" applyProtection="1">
      <alignment horizontal="center" vertical="center" wrapText="1"/>
      <protection locked="0"/>
    </xf>
    <xf numFmtId="0" fontId="20" fillId="5" borderId="0" xfId="0" applyFont="1" applyFill="1" applyBorder="1" applyAlignment="1" applyProtection="1">
      <alignment horizontal="center" vertical="center" wrapText="1"/>
      <protection locked="0"/>
    </xf>
    <xf numFmtId="0" fontId="20" fillId="5" borderId="9" xfId="0" applyFont="1" applyFill="1" applyBorder="1" applyAlignment="1" applyProtection="1">
      <alignment horizontal="center" vertical="center" wrapText="1"/>
      <protection locked="0"/>
    </xf>
    <xf numFmtId="0" fontId="40" fillId="5" borderId="11" xfId="0" applyFont="1" applyFill="1" applyBorder="1" applyAlignment="1" applyProtection="1">
      <alignment horizontal="center" vertical="center" wrapText="1"/>
      <protection locked="0"/>
    </xf>
    <xf numFmtId="0" fontId="40" fillId="5" borderId="0" xfId="0" applyFont="1" applyFill="1" applyAlignment="1" applyProtection="1">
      <alignment horizontal="center" vertical="center" wrapText="1"/>
      <protection locked="0"/>
    </xf>
    <xf numFmtId="0" fontId="40" fillId="5" borderId="9" xfId="0" applyFont="1" applyFill="1" applyBorder="1" applyAlignment="1" applyProtection="1">
      <alignment horizontal="center" vertical="center" wrapText="1"/>
      <protection locked="0"/>
    </xf>
    <xf numFmtId="0" fontId="40" fillId="5" borderId="16" xfId="0" applyFont="1" applyFill="1" applyBorder="1" applyAlignment="1" applyProtection="1">
      <alignment horizontal="center" vertical="center" wrapText="1"/>
      <protection locked="0"/>
    </xf>
    <xf numFmtId="0" fontId="40" fillId="5" borderId="5" xfId="0" applyFont="1" applyFill="1" applyBorder="1" applyAlignment="1" applyProtection="1">
      <alignment horizontal="center" vertical="center" wrapText="1"/>
      <protection locked="0"/>
    </xf>
    <xf numFmtId="0" fontId="40" fillId="5" borderId="10" xfId="0" applyFont="1" applyFill="1" applyBorder="1" applyAlignment="1" applyProtection="1">
      <alignment horizontal="center" vertical="center" wrapText="1"/>
      <protection locked="0"/>
    </xf>
    <xf numFmtId="181" fontId="20" fillId="5" borderId="13" xfId="0" applyNumberFormat="1" applyFont="1" applyFill="1" applyBorder="1" applyAlignment="1" applyProtection="1">
      <alignment horizontal="right" vertical="center"/>
      <protection locked="0"/>
    </xf>
    <xf numFmtId="181" fontId="40" fillId="5" borderId="14" xfId="0" applyNumberFormat="1" applyFont="1" applyFill="1" applyBorder="1" applyAlignment="1" applyProtection="1">
      <alignment horizontal="right" vertical="center"/>
      <protection locked="0"/>
    </xf>
    <xf numFmtId="181" fontId="40" fillId="5" borderId="15" xfId="0" applyNumberFormat="1" applyFont="1" applyFill="1" applyBorder="1" applyAlignment="1" applyProtection="1">
      <alignment horizontal="right" vertical="center"/>
      <protection locked="0"/>
    </xf>
    <xf numFmtId="181" fontId="40" fillId="5" borderId="11" xfId="0" applyNumberFormat="1" applyFont="1" applyFill="1" applyBorder="1" applyAlignment="1" applyProtection="1">
      <alignment horizontal="right" vertical="center"/>
      <protection locked="0"/>
    </xf>
    <xf numFmtId="181" fontId="40" fillId="5" borderId="0" xfId="0" applyNumberFormat="1" applyFont="1" applyFill="1" applyBorder="1" applyAlignment="1" applyProtection="1">
      <alignment horizontal="right" vertical="center"/>
      <protection locked="0"/>
    </xf>
    <xf numFmtId="181" fontId="40" fillId="5" borderId="9" xfId="0" applyNumberFormat="1" applyFont="1" applyFill="1" applyBorder="1" applyAlignment="1" applyProtection="1">
      <alignment horizontal="right" vertical="center"/>
      <protection locked="0"/>
    </xf>
    <xf numFmtId="181" fontId="40" fillId="5" borderId="0" xfId="0" applyNumberFormat="1" applyFont="1" applyFill="1" applyAlignment="1" applyProtection="1">
      <alignment horizontal="right" vertical="center"/>
      <protection locked="0"/>
    </xf>
    <xf numFmtId="181" fontId="40" fillId="5" borderId="16" xfId="0" applyNumberFormat="1" applyFont="1" applyFill="1" applyBorder="1" applyAlignment="1" applyProtection="1">
      <alignment horizontal="right" vertical="center"/>
      <protection locked="0"/>
    </xf>
    <xf numFmtId="181" fontId="40" fillId="5" borderId="5" xfId="0" applyNumberFormat="1" applyFont="1" applyFill="1" applyBorder="1" applyAlignment="1" applyProtection="1">
      <alignment horizontal="right" vertical="center"/>
      <protection locked="0"/>
    </xf>
    <xf numFmtId="181" fontId="40" fillId="5" borderId="10" xfId="0" applyNumberFormat="1" applyFont="1" applyFill="1" applyBorder="1" applyAlignment="1" applyProtection="1">
      <alignment horizontal="right" vertical="center"/>
      <protection locked="0"/>
    </xf>
    <xf numFmtId="0" fontId="13"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13" fillId="0" borderId="7" xfId="0" applyFont="1" applyBorder="1" applyAlignment="1">
      <alignment horizontal="center" vertical="center"/>
    </xf>
    <xf numFmtId="0" fontId="0" fillId="0" borderId="8" xfId="0" applyBorder="1" applyAlignment="1">
      <alignment vertical="center"/>
    </xf>
    <xf numFmtId="0" fontId="0" fillId="0" borderId="6" xfId="0" applyBorder="1" applyAlignment="1">
      <alignment vertical="center"/>
    </xf>
    <xf numFmtId="0" fontId="0" fillId="0" borderId="11" xfId="0" applyBorder="1" applyAlignment="1">
      <alignment vertical="center"/>
    </xf>
    <xf numFmtId="192" fontId="13" fillId="0" borderId="0" xfId="0" applyNumberFormat="1" applyFont="1" applyBorder="1" applyAlignment="1">
      <alignment horizontal="right" vertical="center"/>
    </xf>
    <xf numFmtId="192" fontId="0" fillId="0" borderId="0" xfId="0" applyNumberFormat="1" applyBorder="1" applyAlignment="1">
      <alignment horizontal="right" vertical="center"/>
    </xf>
    <xf numFmtId="0" fontId="13" fillId="0" borderId="0" xfId="0" applyFont="1" applyBorder="1" applyAlignment="1">
      <alignment horizontal="center" vertical="center"/>
    </xf>
    <xf numFmtId="0" fontId="13" fillId="0" borderId="7" xfId="0" applyFont="1" applyBorder="1" applyAlignment="1">
      <alignment horizontal="center" vertical="center" shrinkToFit="1"/>
    </xf>
    <xf numFmtId="0" fontId="13" fillId="0" borderId="2" xfId="0" applyFont="1" applyBorder="1" applyAlignment="1">
      <alignment horizontal="center" vertical="center"/>
    </xf>
    <xf numFmtId="0" fontId="20" fillId="4" borderId="1" xfId="0" applyFont="1" applyFill="1" applyBorder="1" applyAlignment="1" applyProtection="1">
      <alignment horizontal="center" vertical="center"/>
      <protection locked="0"/>
    </xf>
    <xf numFmtId="0" fontId="13" fillId="0" borderId="13" xfId="0" applyFont="1" applyBorder="1" applyAlignment="1">
      <alignment vertical="center"/>
    </xf>
    <xf numFmtId="0" fontId="13" fillId="0" borderId="0" xfId="0" applyFont="1" applyAlignment="1">
      <alignment vertical="center"/>
    </xf>
    <xf numFmtId="0" fontId="0" fillId="0" borderId="3" xfId="0" applyBorder="1" applyAlignment="1">
      <alignment horizontal="center" vertical="center"/>
    </xf>
    <xf numFmtId="0" fontId="13" fillId="0" borderId="1" xfId="0" applyFont="1" applyBorder="1" applyAlignment="1">
      <alignment vertical="center" wrapText="1"/>
    </xf>
    <xf numFmtId="0" fontId="0" fillId="0" borderId="1" xfId="0" applyBorder="1" applyAlignment="1">
      <alignment vertical="center" wrapText="1"/>
    </xf>
    <xf numFmtId="0" fontId="13" fillId="0" borderId="11" xfId="0" applyFont="1" applyBorder="1" applyAlignment="1">
      <alignment vertical="center"/>
    </xf>
    <xf numFmtId="0" fontId="26" fillId="0" borderId="1" xfId="0" applyFont="1" applyBorder="1" applyAlignment="1">
      <alignment horizontal="center" vertical="center"/>
    </xf>
    <xf numFmtId="0" fontId="38" fillId="0" borderId="1" xfId="0" applyFont="1" applyBorder="1" applyAlignment="1">
      <alignment horizontal="center" vertical="center"/>
    </xf>
    <xf numFmtId="0" fontId="26" fillId="0" borderId="34" xfId="0" applyFont="1" applyBorder="1" applyAlignment="1">
      <alignment horizontal="center" vertical="center" wrapText="1"/>
    </xf>
    <xf numFmtId="0" fontId="38" fillId="0" borderId="1" xfId="0" applyFont="1" applyBorder="1" applyAlignment="1">
      <alignment horizontal="center" vertical="center" wrapText="1"/>
    </xf>
    <xf numFmtId="0" fontId="26" fillId="0" borderId="34" xfId="0" applyFont="1" applyBorder="1" applyAlignment="1">
      <alignment horizontal="center" vertical="center"/>
    </xf>
    <xf numFmtId="0" fontId="26" fillId="0" borderId="34" xfId="0" applyFont="1" applyBorder="1" applyAlignment="1">
      <alignment vertical="center" wrapText="1"/>
    </xf>
    <xf numFmtId="0" fontId="38" fillId="0" borderId="1" xfId="0" applyFont="1" applyBorder="1" applyAlignment="1">
      <alignment vertical="center" wrapText="1"/>
    </xf>
    <xf numFmtId="0" fontId="38" fillId="0" borderId="2" xfId="0" applyFont="1" applyBorder="1" applyAlignment="1">
      <alignment horizontal="center" vertical="center"/>
    </xf>
    <xf numFmtId="0" fontId="26" fillId="0" borderId="1" xfId="0" applyFont="1" applyBorder="1" applyAlignment="1">
      <alignment vertical="center" wrapText="1"/>
    </xf>
    <xf numFmtId="0" fontId="38" fillId="0" borderId="2" xfId="0" applyFont="1" applyBorder="1" applyAlignment="1">
      <alignment vertical="center" wrapText="1"/>
    </xf>
    <xf numFmtId="0" fontId="26" fillId="0" borderId="1" xfId="0" applyFont="1" applyBorder="1" applyAlignment="1">
      <alignment horizontal="left" vertical="center" wrapText="1"/>
    </xf>
    <xf numFmtId="0" fontId="38" fillId="0" borderId="1" xfId="0" applyFont="1" applyBorder="1" applyAlignment="1">
      <alignment horizontal="left" vertical="center" wrapText="1"/>
    </xf>
    <xf numFmtId="0" fontId="38" fillId="0" borderId="2" xfId="0" applyFont="1" applyBorder="1" applyAlignment="1">
      <alignment horizontal="left" vertical="center" wrapText="1"/>
    </xf>
    <xf numFmtId="0" fontId="26" fillId="0" borderId="1" xfId="0" applyFont="1" applyBorder="1" applyAlignment="1">
      <alignment horizontal="center" vertical="center" wrapText="1"/>
    </xf>
    <xf numFmtId="0" fontId="13" fillId="0" borderId="9" xfId="0" applyFont="1"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13" fillId="0" borderId="13" xfId="0" applyFont="1" applyBorder="1" applyAlignment="1">
      <alignment vertical="center" wrapText="1"/>
    </xf>
    <xf numFmtId="0" fontId="0" fillId="0" borderId="11" xfId="0" applyBorder="1" applyAlignment="1">
      <alignment vertical="center" wrapText="1"/>
    </xf>
    <xf numFmtId="0" fontId="13" fillId="0" borderId="1" xfId="0" applyFont="1" applyBorder="1" applyAlignment="1">
      <alignment horizontal="center" vertical="center" shrinkToFit="1"/>
    </xf>
    <xf numFmtId="0" fontId="0" fillId="0" borderId="1" xfId="0" applyBorder="1" applyAlignment="1">
      <alignment vertical="center"/>
    </xf>
    <xf numFmtId="0" fontId="28" fillId="5" borderId="2" xfId="2" applyFont="1" applyFill="1" applyBorder="1" applyAlignment="1" applyProtection="1">
      <alignment vertical="center"/>
      <protection locked="0"/>
    </xf>
    <xf numFmtId="0" fontId="0" fillId="5" borderId="3" xfId="0" applyFill="1" applyBorder="1" applyAlignment="1" applyProtection="1">
      <alignment vertical="center"/>
      <protection locked="0"/>
    </xf>
    <xf numFmtId="0" fontId="0" fillId="5" borderId="4" xfId="0" applyFill="1" applyBorder="1" applyAlignment="1" applyProtection="1">
      <alignment vertical="center"/>
      <protection locked="0"/>
    </xf>
    <xf numFmtId="0" fontId="28" fillId="0" borderId="1" xfId="2" applyFont="1" applyBorder="1" applyAlignment="1">
      <alignment horizontal="center" vertical="center"/>
    </xf>
    <xf numFmtId="177" fontId="28" fillId="0" borderId="0" xfId="2" applyNumberFormat="1" applyFont="1" applyAlignment="1">
      <alignment horizontal="distributed" vertical="center"/>
    </xf>
    <xf numFmtId="0" fontId="28" fillId="0" borderId="6" xfId="2" applyFont="1" applyBorder="1" applyAlignment="1">
      <alignment horizontal="center" vertical="center"/>
    </xf>
    <xf numFmtId="0" fontId="28" fillId="0" borderId="7" xfId="2" applyFont="1" applyBorder="1" applyAlignment="1">
      <alignment horizontal="center" vertical="center"/>
    </xf>
    <xf numFmtId="0" fontId="34" fillId="0" borderId="0" xfId="2" applyFont="1" applyAlignment="1">
      <alignment horizontal="center" vertical="center"/>
    </xf>
    <xf numFmtId="0" fontId="28" fillId="0" borderId="2" xfId="2" applyFont="1" applyBorder="1" applyAlignment="1">
      <alignment horizontal="center" vertical="center"/>
    </xf>
    <xf numFmtId="179" fontId="28" fillId="5" borderId="3" xfId="2" applyNumberFormat="1" applyFont="1" applyFill="1" applyBorder="1" applyAlignment="1" applyProtection="1">
      <alignment vertical="center"/>
      <protection locked="0"/>
    </xf>
    <xf numFmtId="179" fontId="0" fillId="5" borderId="3" xfId="0" applyNumberFormat="1" applyFill="1" applyBorder="1" applyAlignment="1" applyProtection="1">
      <alignment vertical="center"/>
      <protection locked="0"/>
    </xf>
    <xf numFmtId="179" fontId="0" fillId="5" borderId="4" xfId="0" applyNumberFormat="1" applyFill="1" applyBorder="1" applyAlignment="1" applyProtection="1">
      <alignment vertical="center"/>
      <protection locked="0"/>
    </xf>
    <xf numFmtId="0" fontId="28" fillId="0" borderId="2" xfId="2"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28" fillId="0" borderId="2" xfId="2"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8" fillId="0" borderId="11" xfId="2" applyFont="1" applyBorder="1" applyAlignment="1">
      <alignment vertical="center"/>
    </xf>
    <xf numFmtId="0" fontId="28" fillId="0" borderId="0" xfId="2" applyFont="1" applyAlignment="1">
      <alignment vertical="center" shrinkToFit="1"/>
    </xf>
    <xf numFmtId="0" fontId="0" fillId="0" borderId="0" xfId="0" applyAlignment="1">
      <alignment vertical="center" shrinkToFit="1"/>
    </xf>
  </cellXfs>
  <cellStyles count="6">
    <cellStyle name="ハイパーリンク" xfId="1" builtinId="8"/>
    <cellStyle name="桁区切り" xfId="5" builtinId="6"/>
    <cellStyle name="桁区切り 2" xfId="3" xr:uid="{00000000-0005-0000-0000-000002000000}"/>
    <cellStyle name="標準" xfId="0" builtinId="0"/>
    <cellStyle name="標準 2" xfId="2" xr:uid="{00000000-0005-0000-0000-000004000000}"/>
    <cellStyle name="標準 2 5" xfId="4" xr:uid="{00000000-0005-0000-0000-000005000000}"/>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AF$3" lockText="1" noThreeD="1"/>
</file>

<file path=xl/ctrlProps/ctrlProp2.xml><?xml version="1.0" encoding="utf-8"?>
<formControlPr xmlns="http://schemas.microsoft.com/office/spreadsheetml/2009/9/main" objectType="CheckBox" fmlaLink="$AF$4" lockText="1" noThreeD="1"/>
</file>

<file path=xl/ctrlProps/ctrlProp3.xml><?xml version="1.0" encoding="utf-8"?>
<formControlPr xmlns="http://schemas.microsoft.com/office/spreadsheetml/2009/9/main" objectType="CheckBox" fmlaLink="$AF$5"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88900</xdr:colOff>
          <xdr:row>2</xdr:row>
          <xdr:rowOff>57150</xdr:rowOff>
        </xdr:from>
        <xdr:to>
          <xdr:col>7</xdr:col>
          <xdr:colOff>336550</xdr:colOff>
          <xdr:row>2</xdr:row>
          <xdr:rowOff>279400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xdr:row>
          <xdr:rowOff>76200</xdr:rowOff>
        </xdr:from>
        <xdr:to>
          <xdr:col>7</xdr:col>
          <xdr:colOff>336550</xdr:colOff>
          <xdr:row>3</xdr:row>
          <xdr:rowOff>298450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4</xdr:row>
          <xdr:rowOff>69850</xdr:rowOff>
        </xdr:from>
        <xdr:to>
          <xdr:col>7</xdr:col>
          <xdr:colOff>431800</xdr:colOff>
          <xdr:row>4</xdr:row>
          <xdr:rowOff>304800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0</xdr:colOff>
      <xdr:row>45</xdr:row>
      <xdr:rowOff>79375</xdr:rowOff>
    </xdr:from>
    <xdr:to>
      <xdr:col>30</xdr:col>
      <xdr:colOff>158750</xdr:colOff>
      <xdr:row>53</xdr:row>
      <xdr:rowOff>190500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19250" y="11906250"/>
          <a:ext cx="6635750" cy="2143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p>
        <a:p>
          <a:r>
            <a:rPr kumimoji="1" lang="ja-JP" altLang="en-US" sz="1800"/>
            <a:t>　　</a:t>
          </a:r>
          <a:r>
            <a:rPr kumimoji="1" lang="en-US" altLang="ja-JP" sz="1800" b="1"/>
            <a:t>【</a:t>
          </a:r>
          <a:r>
            <a:rPr kumimoji="1" lang="ja-JP" altLang="en-US" sz="1800" b="1"/>
            <a:t>郵送先</a:t>
          </a:r>
          <a:r>
            <a:rPr kumimoji="1" lang="en-US" altLang="ja-JP" sz="1800" b="1"/>
            <a:t>】</a:t>
          </a:r>
        </a:p>
        <a:p>
          <a:r>
            <a:rPr kumimoji="1" lang="ja-JP" altLang="en-US" sz="1800" b="1"/>
            <a:t>　　　〒４６０－０００１</a:t>
          </a:r>
          <a:endParaRPr kumimoji="1" lang="en-US" altLang="ja-JP" sz="1800" b="1"/>
        </a:p>
        <a:p>
          <a:r>
            <a:rPr kumimoji="1" lang="ja-JP" altLang="en-US" sz="1800" b="1"/>
            <a:t>　　　名古屋市中区三の丸３－１－２</a:t>
          </a:r>
          <a:endParaRPr kumimoji="1" lang="en-US" altLang="ja-JP" sz="1800" b="1"/>
        </a:p>
        <a:p>
          <a:r>
            <a:rPr kumimoji="1" lang="ja-JP" altLang="en-US" sz="1800" b="1"/>
            <a:t>　　　感染症対策課感染症対策助成グループ　宛</a:t>
          </a:r>
        </a:p>
      </xdr:txBody>
    </xdr:sp>
    <xdr:clientData/>
  </xdr:twoCellAnchor>
  <mc:AlternateContent xmlns:mc="http://schemas.openxmlformats.org/markup-compatibility/2006">
    <mc:Choice xmlns:a14="http://schemas.microsoft.com/office/drawing/2010/main" Requires="a14">
      <xdr:twoCellAnchor editAs="oneCell">
        <xdr:from>
          <xdr:col>36</xdr:col>
          <xdr:colOff>3175</xdr:colOff>
          <xdr:row>21</xdr:row>
          <xdr:rowOff>3175</xdr:rowOff>
        </xdr:from>
        <xdr:to>
          <xdr:col>46</xdr:col>
          <xdr:colOff>265113</xdr:colOff>
          <xdr:row>31</xdr:row>
          <xdr:rowOff>3175</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AV$22:$AX$31" spid="_x0000_s2315"/>
                </a:ext>
              </a:extLst>
            </xdr:cNvPicPr>
          </xdr:nvPicPr>
          <xdr:blipFill>
            <a:blip xmlns:r="http://schemas.openxmlformats.org/officeDocument/2006/relationships" r:embed="rId1"/>
            <a:srcRect/>
            <a:stretch>
              <a:fillRect/>
            </a:stretch>
          </xdr:blipFill>
          <xdr:spPr bwMode="auto">
            <a:xfrm>
              <a:off x="9861550" y="5408613"/>
              <a:ext cx="7167563" cy="272653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600075</xdr:colOff>
          <xdr:row>0</xdr:row>
          <xdr:rowOff>500063</xdr:rowOff>
        </xdr:from>
        <xdr:to>
          <xdr:col>12</xdr:col>
          <xdr:colOff>6191250</xdr:colOff>
          <xdr:row>3</xdr:row>
          <xdr:rowOff>509588</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a:extLst>
                <a:ext uri="{84589F7E-364E-4C9E-8A38-B11213B215E9}">
                  <a14:cameraTool cellRange="$L$32:$M$34" spid="_x0000_s28730"/>
                </a:ext>
              </a:extLst>
            </xdr:cNvPicPr>
          </xdr:nvPicPr>
          <xdr:blipFill>
            <a:blip xmlns:r="http://schemas.openxmlformats.org/officeDocument/2006/relationships" r:embed="rId1"/>
            <a:srcRect/>
            <a:stretch>
              <a:fillRect/>
            </a:stretch>
          </xdr:blipFill>
          <xdr:spPr bwMode="auto">
            <a:xfrm>
              <a:off x="12458700" y="500063"/>
              <a:ext cx="7591425" cy="17240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19</xdr:col>
      <xdr:colOff>89649</xdr:colOff>
      <xdr:row>2</xdr:row>
      <xdr:rowOff>22412</xdr:rowOff>
    </xdr:from>
    <xdr:to>
      <xdr:col>22</xdr:col>
      <xdr:colOff>114301</xdr:colOff>
      <xdr:row>4</xdr:row>
      <xdr:rowOff>200025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480924" y="270062"/>
          <a:ext cx="1701052" cy="6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icrosoft YaHei" panose="020B0503020204020204" pitchFamily="34" charset="-122"/>
              <a:ea typeface="Microsoft YaHei" panose="020B0503020204020204" pitchFamily="34" charset="-122"/>
            </a:rPr>
            <a:t>自動入力されますので、</a:t>
          </a:r>
          <a:endParaRPr kumimoji="1" lang="en-US" altLang="ja-JP" sz="1100" b="1">
            <a:latin typeface="Microsoft YaHei" panose="020B0503020204020204" pitchFamily="34" charset="-122"/>
            <a:ea typeface="Microsoft YaHei" panose="020B0503020204020204" pitchFamily="34" charset="-122"/>
          </a:endParaRPr>
        </a:p>
        <a:p>
          <a:r>
            <a:rPr kumimoji="1" lang="ja-JP" altLang="en-US" sz="1100" b="1">
              <a:latin typeface="Microsoft YaHei" panose="020B0503020204020204" pitchFamily="34" charset="-122"/>
              <a:ea typeface="Microsoft YaHei" panose="020B0503020204020204" pitchFamily="34" charset="-122"/>
            </a:rPr>
            <a:t>内容を御確認ください。</a:t>
          </a:r>
        </a:p>
      </xdr:txBody>
    </xdr:sp>
    <xdr:clientData/>
  </xdr:twoCellAnchor>
  <xdr:twoCellAnchor editAs="oneCell">
    <xdr:from>
      <xdr:col>38</xdr:col>
      <xdr:colOff>9525</xdr:colOff>
      <xdr:row>49</xdr:row>
      <xdr:rowOff>19050</xdr:rowOff>
    </xdr:from>
    <xdr:to>
      <xdr:col>41</xdr:col>
      <xdr:colOff>323850</xdr:colOff>
      <xdr:row>55</xdr:row>
      <xdr:rowOff>209550</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526250" y="12077700"/>
          <a:ext cx="2286000" cy="2333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20</xdr:col>
          <xdr:colOff>201878</xdr:colOff>
          <xdr:row>14</xdr:row>
          <xdr:rowOff>47625</xdr:rowOff>
        </xdr:from>
        <xdr:to>
          <xdr:col>21</xdr:col>
          <xdr:colOff>495300</xdr:colOff>
          <xdr:row>18</xdr:row>
          <xdr:rowOff>228599</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a:extLst>
                <a:ext uri="{84589F7E-364E-4C9E-8A38-B11213B215E9}">
                  <a14:cameraTool cellRange="$AM$50:$AP$56" spid="_x0000_s29732"/>
                </a:ext>
              </a:extLst>
            </xdr:cNvPicPr>
          </xdr:nvPicPr>
          <xdr:blipFill>
            <a:blip xmlns:r="http://schemas.openxmlformats.org/officeDocument/2006/relationships" r:embed="rId2"/>
            <a:srcRect/>
            <a:stretch>
              <a:fillRect/>
            </a:stretch>
          </xdr:blipFill>
          <xdr:spPr bwMode="auto">
            <a:xfrm>
              <a:off x="6726503" y="3819525"/>
              <a:ext cx="1064947" cy="1095374"/>
            </a:xfrm>
            <a:prstGeom prst="rect">
              <a:avLst/>
            </a:prstGeom>
            <a:no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38</xdr:col>
          <xdr:colOff>229658</xdr:colOff>
          <xdr:row>9</xdr:row>
          <xdr:rowOff>248708</xdr:rowOff>
        </xdr:from>
        <xdr:to>
          <xdr:col>50</xdr:col>
          <xdr:colOff>207433</xdr:colOff>
          <xdr:row>23</xdr:row>
          <xdr:rowOff>228599</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a:extLst>
                <a:ext uri="{84589F7E-364E-4C9E-8A38-B11213B215E9}">
                  <a14:cameraTool cellRange="$BP$5:$BU$18" spid="_x0000_s25318"/>
                </a:ext>
              </a:extLst>
            </xdr:cNvPicPr>
          </xdr:nvPicPr>
          <xdr:blipFill>
            <a:blip xmlns:r="http://schemas.openxmlformats.org/officeDocument/2006/relationships" r:embed="rId1"/>
            <a:srcRect/>
            <a:stretch>
              <a:fillRect/>
            </a:stretch>
          </xdr:blipFill>
          <xdr:spPr bwMode="auto">
            <a:xfrm>
              <a:off x="10516658" y="3275541"/>
              <a:ext cx="9121775" cy="3493558"/>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325967</xdr:colOff>
          <xdr:row>32</xdr:row>
          <xdr:rowOff>21166</xdr:rowOff>
        </xdr:from>
        <xdr:to>
          <xdr:col>50</xdr:col>
          <xdr:colOff>230717</xdr:colOff>
          <xdr:row>62</xdr:row>
          <xdr:rowOff>2117</xdr:rowOff>
        </xdr:to>
        <xdr:pic>
          <xdr:nvPicPr>
            <xdr:cNvPr id="3" name="図 2">
              <a:extLst>
                <a:ext uri="{FF2B5EF4-FFF2-40B4-BE49-F238E27FC236}">
                  <a16:creationId xmlns:a16="http://schemas.microsoft.com/office/drawing/2014/main" id="{00000000-0008-0000-0600-000003000000}"/>
                </a:ext>
              </a:extLst>
            </xdr:cNvPr>
            <xdr:cNvPicPr>
              <a:picLocks noChangeAspect="1" noChangeArrowheads="1"/>
              <a:extLst>
                <a:ext uri="{84589F7E-364E-4C9E-8A38-B11213B215E9}">
                  <a14:cameraTool cellRange="$BP$30:$BU$33" spid="_x0000_s25319"/>
                </a:ext>
              </a:extLst>
            </xdr:cNvPicPr>
          </xdr:nvPicPr>
          <xdr:blipFill>
            <a:blip xmlns:r="http://schemas.openxmlformats.org/officeDocument/2006/relationships" r:embed="rId2"/>
            <a:srcRect/>
            <a:stretch>
              <a:fillRect/>
            </a:stretch>
          </xdr:blipFill>
          <xdr:spPr bwMode="auto">
            <a:xfrm>
              <a:off x="10612967" y="8932333"/>
              <a:ext cx="9048750" cy="101811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315384</xdr:colOff>
          <xdr:row>38</xdr:row>
          <xdr:rowOff>224367</xdr:rowOff>
        </xdr:from>
        <xdr:to>
          <xdr:col>50</xdr:col>
          <xdr:colOff>220134</xdr:colOff>
          <xdr:row>61</xdr:row>
          <xdr:rowOff>234950</xdr:rowOff>
        </xdr:to>
        <xdr:pic>
          <xdr:nvPicPr>
            <xdr:cNvPr id="4" name="図 3">
              <a:extLst>
                <a:ext uri="{FF2B5EF4-FFF2-40B4-BE49-F238E27FC236}">
                  <a16:creationId xmlns:a16="http://schemas.microsoft.com/office/drawing/2014/main" id="{00000000-0008-0000-0600-000004000000}"/>
                </a:ext>
              </a:extLst>
            </xdr:cNvPr>
            <xdr:cNvPicPr>
              <a:picLocks noChangeAspect="1" noChangeArrowheads="1"/>
              <a:extLst>
                <a:ext uri="{84589F7E-364E-4C9E-8A38-B11213B215E9}">
                  <a14:cameraTool cellRange="$BP$41:$BU$44" spid="_x0000_s25320"/>
                </a:ext>
              </a:extLst>
            </xdr:cNvPicPr>
          </xdr:nvPicPr>
          <xdr:blipFill>
            <a:blip xmlns:r="http://schemas.openxmlformats.org/officeDocument/2006/relationships" r:embed="rId2"/>
            <a:srcRect/>
            <a:stretch>
              <a:fillRect/>
            </a:stretch>
          </xdr:blipFill>
          <xdr:spPr bwMode="auto">
            <a:xfrm>
              <a:off x="10602384" y="10913534"/>
              <a:ext cx="9048750" cy="996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276225</xdr:colOff>
          <xdr:row>46</xdr:row>
          <xdr:rowOff>93134</xdr:rowOff>
        </xdr:from>
        <xdr:to>
          <xdr:col>50</xdr:col>
          <xdr:colOff>180975</xdr:colOff>
          <xdr:row>62</xdr:row>
          <xdr:rowOff>67734</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a:extLst>
                <a:ext uri="{84589F7E-364E-4C9E-8A38-B11213B215E9}">
                  <a14:cameraTool cellRange="$BP$49:$BU$52" spid="_x0000_s25321"/>
                </a:ext>
              </a:extLst>
            </xdr:cNvPicPr>
          </xdr:nvPicPr>
          <xdr:blipFill>
            <a:blip xmlns:r="http://schemas.openxmlformats.org/officeDocument/2006/relationships" r:embed="rId2"/>
            <a:srcRect/>
            <a:stretch>
              <a:fillRect/>
            </a:stretch>
          </xdr:blipFill>
          <xdr:spPr bwMode="auto">
            <a:xfrm>
              <a:off x="10563225" y="12941301"/>
              <a:ext cx="9048750" cy="11049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214841</xdr:colOff>
          <xdr:row>0</xdr:row>
          <xdr:rowOff>70909</xdr:rowOff>
        </xdr:from>
        <xdr:to>
          <xdr:col>48</xdr:col>
          <xdr:colOff>243416</xdr:colOff>
          <xdr:row>2</xdr:row>
          <xdr:rowOff>307686</xdr:rowOff>
        </xdr:to>
        <xdr:pic>
          <xdr:nvPicPr>
            <xdr:cNvPr id="6" name="図 5">
              <a:extLst>
                <a:ext uri="{FF2B5EF4-FFF2-40B4-BE49-F238E27FC236}">
                  <a16:creationId xmlns:a16="http://schemas.microsoft.com/office/drawing/2014/main" id="{00000000-0008-0000-0600-000006000000}"/>
                </a:ext>
              </a:extLst>
            </xdr:cNvPr>
            <xdr:cNvPicPr>
              <a:picLocks noChangeAspect="1" noChangeArrowheads="1"/>
              <a:extLst>
                <a:ext uri="{84589F7E-364E-4C9E-8A38-B11213B215E9}">
                  <a14:cameraTool cellRange="$BY$7:$CE$12" spid="_x0000_s25322"/>
                </a:ext>
              </a:extLst>
            </xdr:cNvPicPr>
          </xdr:nvPicPr>
          <xdr:blipFill>
            <a:blip xmlns:r="http://schemas.openxmlformats.org/officeDocument/2006/relationships" r:embed="rId3"/>
            <a:srcRect/>
            <a:stretch>
              <a:fillRect/>
            </a:stretch>
          </xdr:blipFill>
          <xdr:spPr bwMode="auto">
            <a:xfrm>
              <a:off x="10501841" y="70909"/>
              <a:ext cx="7817908" cy="1337444"/>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174625</xdr:colOff>
          <xdr:row>3</xdr:row>
          <xdr:rowOff>47625</xdr:rowOff>
        </xdr:from>
        <xdr:to>
          <xdr:col>15</xdr:col>
          <xdr:colOff>637268</xdr:colOff>
          <xdr:row>13</xdr:row>
          <xdr:rowOff>47625</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a:extLst>
                <a:ext uri="{84589F7E-364E-4C9E-8A38-B11213B215E9}">
                  <a14:cameraTool cellRange="$X$4:$AD$13" spid="_x0000_s17602"/>
                </a:ext>
              </a:extLst>
            </xdr:cNvPicPr>
          </xdr:nvPicPr>
          <xdr:blipFill>
            <a:blip xmlns:r="http://schemas.openxmlformats.org/officeDocument/2006/relationships" r:embed="rId1"/>
            <a:srcRect/>
            <a:stretch>
              <a:fillRect/>
            </a:stretch>
          </xdr:blipFill>
          <xdr:spPr bwMode="auto">
            <a:xfrm>
              <a:off x="7617732" y="945696"/>
              <a:ext cx="5225143" cy="1905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Y3"/>
  <sheetViews>
    <sheetView topLeftCell="AV1" zoomScale="140" zoomScaleNormal="140" workbookViewId="0">
      <selection activeCell="BB3" sqref="BB3"/>
    </sheetView>
  </sheetViews>
  <sheetFormatPr defaultColWidth="9" defaultRowHeight="10.5" x14ac:dyDescent="0.55000000000000004"/>
  <cols>
    <col min="1" max="1" width="6.58203125" style="2" customWidth="1"/>
    <col min="2" max="2" width="6.58203125" style="4" customWidth="1"/>
    <col min="3" max="3" width="6.58203125" style="3" customWidth="1"/>
    <col min="4" max="15" width="6.58203125" style="2" customWidth="1"/>
    <col min="16" max="21" width="6.58203125" style="2" hidden="1" customWidth="1"/>
    <col min="22" max="47" width="6.58203125" style="49" hidden="1" customWidth="1"/>
    <col min="48" max="50" width="6.58203125" style="2" customWidth="1"/>
    <col min="51" max="51" width="60.58203125" style="2" customWidth="1"/>
    <col min="52" max="16384" width="9" style="2"/>
  </cols>
  <sheetData>
    <row r="1" spans="1:51" s="11" customFormat="1" ht="9.75" customHeight="1" x14ac:dyDescent="0.55000000000000004">
      <c r="A1" s="217" t="s">
        <v>91</v>
      </c>
      <c r="B1" s="219" t="s">
        <v>101</v>
      </c>
      <c r="C1" s="217" t="s">
        <v>224</v>
      </c>
      <c r="D1" s="217" t="s">
        <v>92</v>
      </c>
      <c r="E1" s="217" t="s">
        <v>93</v>
      </c>
      <c r="F1" s="217" t="s">
        <v>94</v>
      </c>
      <c r="G1" s="217" t="s">
        <v>6</v>
      </c>
      <c r="H1" s="217" t="s">
        <v>95</v>
      </c>
      <c r="I1" s="217" t="s">
        <v>96</v>
      </c>
      <c r="J1" s="217" t="s">
        <v>13</v>
      </c>
      <c r="K1" s="217" t="s">
        <v>97</v>
      </c>
      <c r="L1" s="217" t="s">
        <v>98</v>
      </c>
      <c r="M1" s="223" t="s">
        <v>225</v>
      </c>
      <c r="N1" s="224"/>
      <c r="O1" s="225"/>
      <c r="P1" s="46" t="s">
        <v>186</v>
      </c>
      <c r="Q1" s="46"/>
      <c r="R1" s="47"/>
      <c r="S1" s="47"/>
      <c r="T1" s="47"/>
      <c r="U1" s="47"/>
      <c r="V1" s="226" t="s">
        <v>102</v>
      </c>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8"/>
      <c r="AV1" s="217" t="s">
        <v>99</v>
      </c>
      <c r="AW1" s="221" t="s">
        <v>110</v>
      </c>
      <c r="AX1" s="221" t="s">
        <v>111</v>
      </c>
      <c r="AY1" s="221" t="s">
        <v>112</v>
      </c>
    </row>
    <row r="2" spans="1:51" s="13" customFormat="1" ht="9.75" customHeight="1" x14ac:dyDescent="0.55000000000000004">
      <c r="A2" s="218"/>
      <c r="B2" s="220"/>
      <c r="C2" s="220"/>
      <c r="D2" s="218"/>
      <c r="E2" s="218"/>
      <c r="F2" s="218"/>
      <c r="G2" s="218"/>
      <c r="H2" s="218"/>
      <c r="I2" s="218"/>
      <c r="J2" s="218"/>
      <c r="K2" s="218"/>
      <c r="L2" s="218"/>
      <c r="M2" s="12" t="s">
        <v>100</v>
      </c>
      <c r="N2" s="12" t="s">
        <v>123</v>
      </c>
      <c r="O2" s="12" t="s">
        <v>185</v>
      </c>
      <c r="P2" s="12" t="s">
        <v>123</v>
      </c>
      <c r="Q2" s="12" t="s">
        <v>185</v>
      </c>
      <c r="R2" s="12" t="s">
        <v>187</v>
      </c>
      <c r="S2" s="12" t="s">
        <v>188</v>
      </c>
      <c r="T2" s="12" t="s">
        <v>189</v>
      </c>
      <c r="U2" s="12" t="s">
        <v>190</v>
      </c>
      <c r="V2" s="51" t="s">
        <v>166</v>
      </c>
      <c r="W2" s="51" t="s">
        <v>167</v>
      </c>
      <c r="X2" s="51" t="s">
        <v>168</v>
      </c>
      <c r="Y2" s="51" t="s">
        <v>169</v>
      </c>
      <c r="Z2" s="51" t="s">
        <v>15</v>
      </c>
      <c r="AA2" s="51" t="s">
        <v>170</v>
      </c>
      <c r="AB2" s="51" t="s">
        <v>171</v>
      </c>
      <c r="AC2" s="51" t="s">
        <v>172</v>
      </c>
      <c r="AD2" s="51" t="s">
        <v>173</v>
      </c>
      <c r="AE2" s="51" t="s">
        <v>174</v>
      </c>
      <c r="AF2" s="51" t="s">
        <v>175</v>
      </c>
      <c r="AG2" s="51" t="s">
        <v>176</v>
      </c>
      <c r="AH2" s="51" t="s">
        <v>177</v>
      </c>
      <c r="AI2" s="51" t="s">
        <v>178</v>
      </c>
      <c r="AJ2" s="51" t="s">
        <v>179</v>
      </c>
      <c r="AK2" s="51" t="s">
        <v>180</v>
      </c>
      <c r="AL2" s="51" t="s">
        <v>181</v>
      </c>
      <c r="AM2" s="51" t="s">
        <v>182</v>
      </c>
      <c r="AN2" s="51" t="s">
        <v>183</v>
      </c>
      <c r="AO2" s="50" t="s">
        <v>103</v>
      </c>
      <c r="AP2" s="50" t="s">
        <v>106</v>
      </c>
      <c r="AQ2" s="50" t="s">
        <v>107</v>
      </c>
      <c r="AR2" s="50" t="s">
        <v>108</v>
      </c>
      <c r="AS2" s="50" t="s">
        <v>109</v>
      </c>
      <c r="AT2" s="50" t="s">
        <v>104</v>
      </c>
      <c r="AU2" s="50" t="s">
        <v>105</v>
      </c>
      <c r="AV2" s="218"/>
      <c r="AW2" s="222"/>
      <c r="AX2" s="222"/>
      <c r="AY2" s="222"/>
    </row>
    <row r="3" spans="1:51" s="9" customFormat="1" ht="100" customHeight="1" x14ac:dyDescent="0.55000000000000004">
      <c r="A3" s="7">
        <f>はじめに入力してください!L19</f>
        <v>0</v>
      </c>
      <c r="B3" s="6" t="str">
        <f>所要額調書!I4</f>
        <v/>
      </c>
      <c r="C3" s="6">
        <f>DATE(はじめに入力してください!AG13,はじめに入力してください!AH13,はじめに入力してください!AI13)</f>
        <v>44652</v>
      </c>
      <c r="D3" s="5">
        <f>はじめに入力してください!H6</f>
        <v>0</v>
      </c>
      <c r="E3" s="5">
        <f>はじめに入力してください!H9</f>
        <v>0</v>
      </c>
      <c r="F3" s="5">
        <f>はじめに入力してください!H7</f>
        <v>0</v>
      </c>
      <c r="G3" s="5">
        <f>はじめに入力してください!H8</f>
        <v>0</v>
      </c>
      <c r="H3" s="5">
        <f>はじめに入力してください!H10</f>
        <v>0</v>
      </c>
      <c r="I3" s="5">
        <f>はじめに入力してください!H11</f>
        <v>0</v>
      </c>
      <c r="J3" s="5">
        <f>はじめに入力してください!H15</f>
        <v>0</v>
      </c>
      <c r="K3" s="5">
        <f>はじめに入力してください!H16</f>
        <v>0</v>
      </c>
      <c r="L3" s="5">
        <f>はじめに入力してください!H17</f>
        <v>0</v>
      </c>
      <c r="M3" s="8">
        <f xml:space="preserve">
IF(表紙!V8="交付申請",所要額調書!J9,
IF(表紙!V8="変更申請",所要額調書!J9,
IF(表紙!V8="実績報告",所要額調書!J9)))</f>
        <v>0</v>
      </c>
      <c r="N3" s="14">
        <f>SUM(実施計画書!Q7,実施計画書!Q15)</f>
        <v>0</v>
      </c>
      <c r="O3" s="53">
        <f>実施計画書!AF23</f>
        <v>0</v>
      </c>
      <c r="P3" s="14">
        <f>実施計画書!N35</f>
        <v>0</v>
      </c>
      <c r="Q3" s="53">
        <f>実施計画書!Z35</f>
        <v>0</v>
      </c>
      <c r="R3" s="61">
        <f>実施計画書!N42</f>
        <v>0</v>
      </c>
      <c r="S3" s="53">
        <f>実施計画書!T42</f>
        <v>0</v>
      </c>
      <c r="T3" s="53">
        <f>実施計画書!Z42</f>
        <v>0</v>
      </c>
      <c r="U3" s="8">
        <f>実施計画書!B50</f>
        <v>0</v>
      </c>
      <c r="V3" s="52">
        <v>1</v>
      </c>
      <c r="W3" s="52"/>
      <c r="X3" s="52">
        <v>1</v>
      </c>
      <c r="Y3" s="52">
        <v>48700</v>
      </c>
      <c r="Z3" s="52"/>
      <c r="AA3" s="52"/>
      <c r="AB3" s="52"/>
      <c r="AC3" s="52"/>
      <c r="AD3" s="52"/>
      <c r="AE3" s="52" t="str">
        <f xml:space="preserve">
IF(はじめに入力してください!O3="×","",
IF(はじめに入力してください!O3="○"&amp;CHAR(10)&amp;"（公立）","",
IF(はじめに入力してください!O3="○"&amp;CHAR(10)&amp;"（個人）",ASC(PHONETIC(はじめに入力してください!H10)),
IF(はじめに入力してください!O3="○"&amp;CHAR(10)&amp;"（法人）",""))))</f>
        <v/>
      </c>
      <c r="AF3" s="52" t="str">
        <f xml:space="preserve">
IF(はじめに入力してください!O3="×","",
IF(はじめに入力してください!O3="○"&amp;CHAR(10)&amp;"（公立）","",
IF(はじめに入力してください!O3="○"&amp;CHAR(10)&amp;"（個人）",はじめに入力してください!H10,
IF(はじめに入力してください!O3="○"&amp;CHAR(10)&amp;"（法人）",""))))</f>
        <v/>
      </c>
      <c r="AG3" s="52" t="str">
        <f xml:space="preserve">
IF(はじめに入力してください!O3="×","",
IF(はじめに入力してください!O3="○"&amp;CHAR(10)&amp;"（公立）",ASC(PHONETIC(はじめに入力してください!H6)&amp;"("&amp;PHONETIC(はじめに入力してください!H10)&amp;")"),
IF(はじめに入力してください!O3="○"&amp;CHAR(10)&amp;"（個人）",ASC(PHONETIC(はじめに入力してください!H8)),
IF(はじめに入力してください!O3="○"&amp;CHAR(10)&amp;"（法人）",ASC(PHONETIC(はじめに入力してください!H6)&amp;"("&amp;PHONETIC(はじめに入力してください!H10)&amp;")")))))</f>
        <v/>
      </c>
      <c r="AH3" s="52" t="str">
        <f xml:space="preserve">
IF(はじめに入力してください!O3="×","",
IF(はじめに入力してください!O3="○"&amp;CHAR(10)&amp;"（公立）",はじめに入力してください!H6&amp;"("&amp;はじめに入力してください!H10&amp;")",
IF(はじめに入力してください!O3="○"&amp;CHAR(10)&amp;"（個人）",はじめに入力してください!H8,
IF(はじめに入力してください!O3="○"&amp;CHAR(10)&amp;"（法人）",はじめに入力してください!H6&amp;"("&amp;はじめに入力してください!H10&amp;")"))))</f>
        <v/>
      </c>
      <c r="AI3" s="52" t="str">
        <f xml:space="preserve">
IF(はじめに入力してください!O3="×","",
IF(はじめに入力してください!O3="○"&amp;CHAR(10)&amp;"（公立）",ASC(PHONETIC(はじめに入力してください!H8)),
IF(はじめに入力してください!O3="○"&amp;CHAR(10)&amp;"（個人）","",
IF(はじめに入力してください!O3="○"&amp;CHAR(10)&amp;"（法人）",ASC(PHONETIC(はじめに入力してください!H8))))))</f>
        <v/>
      </c>
      <c r="AJ3" s="52" t="str">
        <f xml:space="preserve">
IF(はじめに入力してください!O3="×","",
IF(はじめに入力してください!O3="○"&amp;CHAR(10)&amp;"（公立）",はじめに入力してください!H8,
IF(はじめに入力してください!O3="○"&amp;CHAR(10)&amp;"（個人）","",
IF(はじめに入力してください!O3="○"&amp;CHAR(10)&amp;"（法人）",はじめに入力してください!H8))))</f>
        <v/>
      </c>
      <c r="AK3" s="52">
        <v>2</v>
      </c>
      <c r="AL3" s="52"/>
      <c r="AM3" s="52" t="s">
        <v>184</v>
      </c>
      <c r="AN3" s="52" t="s">
        <v>226</v>
      </c>
      <c r="AO3" s="52" t="str">
        <f>ASC(振込先情報!G23&amp;振込先情報!H23&amp;振込先情報!I23&amp;振込先情報!J23&amp;振込先情報!G24&amp;振込先情報!H24&amp;振込先情報!I24)</f>
        <v/>
      </c>
      <c r="AP3" s="52">
        <f>振込先情報!G28</f>
        <v>0</v>
      </c>
      <c r="AQ3" s="52" t="str">
        <f>ASC(振込先情報!G29&amp;振込先情報!H29&amp;振込先情報!I29&amp;振込先情報!J29&amp;振込先情報!K29&amp;振込先情報!L29&amp;振込先情報!M29)</f>
        <v/>
      </c>
      <c r="AR3" s="52">
        <f>振込先情報!G30</f>
        <v>0</v>
      </c>
      <c r="AS3" s="52">
        <f>振込先情報!G31</f>
        <v>0</v>
      </c>
      <c r="AT3" s="52">
        <f>振込先情報!G25</f>
        <v>0</v>
      </c>
      <c r="AU3" s="52">
        <f>振込先情報!G26</f>
        <v>0</v>
      </c>
      <c r="AV3" s="5">
        <f>はじめに入力してください!H18</f>
        <v>0</v>
      </c>
      <c r="AW3" s="5" t="str">
        <f>"【依頼番号："&amp;A3&amp;はじめに入力してください!H6&amp;"（"&amp;はじめに入力してください!H10&amp;"）ご担当者様】令和４年度愛知県新型コロナウイルス感染症検査機関等設備整備費補助金交付申請書の修正について（愛知県感染症対策課）"</f>
        <v>【依頼番号：0（）ご担当者様】令和４年度愛知県新型コロナウイルス感染症検査機関等設備整備費補助金交付申請書の修正について（愛知県感染症対策課）</v>
      </c>
      <c r="AX3" s="5"/>
      <c r="AY3" s="5"/>
    </row>
  </sheetData>
  <mergeCells count="18">
    <mergeCell ref="AW1:AW2"/>
    <mergeCell ref="M1:O1"/>
    <mergeCell ref="V1:AU1"/>
    <mergeCell ref="AX1:AX2"/>
    <mergeCell ref="AY1:AY2"/>
    <mergeCell ref="AV1:AV2"/>
    <mergeCell ref="L1:L2"/>
    <mergeCell ref="A1:A2"/>
    <mergeCell ref="B1:B2"/>
    <mergeCell ref="C1:C2"/>
    <mergeCell ref="D1:D2"/>
    <mergeCell ref="E1:E2"/>
    <mergeCell ref="F1:F2"/>
    <mergeCell ref="G1:G2"/>
    <mergeCell ref="H1:H2"/>
    <mergeCell ref="I1:I2"/>
    <mergeCell ref="J1:J2"/>
    <mergeCell ref="K1:K2"/>
  </mergeCells>
  <phoneticPr fontId="1"/>
  <pageMargins left="0.25" right="0.25"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L35"/>
  <sheetViews>
    <sheetView tabSelected="1" view="pageBreakPreview" zoomScaleNormal="100" zoomScaleSheetLayoutView="100" workbookViewId="0">
      <selection activeCell="L22" sqref="L22"/>
    </sheetView>
  </sheetViews>
  <sheetFormatPr defaultColWidth="9" defaultRowHeight="18" x14ac:dyDescent="0.55000000000000004"/>
  <cols>
    <col min="1" max="2" width="3.58203125" style="75" customWidth="1"/>
    <col min="3" max="7" width="6.08203125" style="75" customWidth="1"/>
    <col min="8" max="14" width="6.08203125" style="106" customWidth="1"/>
    <col min="15" max="15" width="10.58203125" style="107" customWidth="1"/>
    <col min="16" max="16" width="6.08203125" style="108" customWidth="1"/>
    <col min="17" max="28" width="6.08203125" style="75" customWidth="1"/>
    <col min="29" max="30" width="3.58203125" style="75" customWidth="1"/>
    <col min="31" max="35" width="12.58203125" style="75" customWidth="1"/>
    <col min="36" max="36" width="10.58203125" style="76" customWidth="1"/>
    <col min="37" max="16384" width="9" style="75"/>
  </cols>
  <sheetData>
    <row r="1" spans="2:36" ht="140.15" customHeight="1" x14ac:dyDescent="0.55000000000000004">
      <c r="B1" s="74"/>
      <c r="C1" s="281" t="s">
        <v>140</v>
      </c>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74"/>
      <c r="AD1" s="74"/>
      <c r="AE1" s="167" t="s">
        <v>38</v>
      </c>
    </row>
    <row r="2" spans="2:36" ht="30" customHeight="1" x14ac:dyDescent="0.55000000000000004">
      <c r="B2" s="74"/>
      <c r="C2" s="255" t="s">
        <v>79</v>
      </c>
      <c r="D2" s="256"/>
      <c r="E2" s="256"/>
      <c r="F2" s="256"/>
      <c r="G2" s="262"/>
      <c r="H2" s="255" t="s">
        <v>80</v>
      </c>
      <c r="I2" s="256"/>
      <c r="J2" s="256"/>
      <c r="K2" s="256"/>
      <c r="L2" s="256"/>
      <c r="M2" s="256"/>
      <c r="N2" s="262"/>
      <c r="O2" s="77" t="s">
        <v>78</v>
      </c>
      <c r="P2" s="268" t="s">
        <v>71</v>
      </c>
      <c r="Q2" s="269"/>
      <c r="R2" s="269"/>
      <c r="S2" s="269"/>
      <c r="T2" s="269"/>
      <c r="U2" s="269"/>
      <c r="V2" s="269"/>
      <c r="W2" s="269"/>
      <c r="X2" s="269"/>
      <c r="Y2" s="269"/>
      <c r="Z2" s="269"/>
      <c r="AA2" s="269"/>
      <c r="AB2" s="244"/>
      <c r="AC2" s="74"/>
      <c r="AD2" s="74"/>
      <c r="AE2" s="78"/>
    </row>
    <row r="3" spans="2:36" ht="30" customHeight="1" x14ac:dyDescent="0.55000000000000004">
      <c r="B3" s="74"/>
      <c r="C3" s="272" t="s">
        <v>75</v>
      </c>
      <c r="D3" s="273"/>
      <c r="E3" s="273"/>
      <c r="F3" s="273"/>
      <c r="G3" s="274"/>
      <c r="H3" s="309" t="s">
        <v>76</v>
      </c>
      <c r="I3" s="310"/>
      <c r="J3" s="310"/>
      <c r="K3" s="310"/>
      <c r="L3" s="310"/>
      <c r="M3" s="310"/>
      <c r="N3" s="311"/>
      <c r="O3" s="267" t="str">
        <f xml:space="preserve">
IF(AND(AE3="×",AE4="×",AE5="×"),"×",
IF(AND(AE3="×",AE4="×",AE5="○"),"○"&amp;CHAR(10)&amp;"（公立）",
IF(AND(AE3="×",AE4="○",AE5="×"),"○"&amp;CHAR(10)&amp;"（個人）",
IF(AND(AE3="×",AE4="○",AE5="○"),"×",
IF(AND(AE3="○",AE4="×",AE5="×"),"○"&amp;CHAR(10)&amp;"（法人）",
IF(AND(AE3="○",AE4="×",AE5="○"),"×",
IF(AND(AE3="○",AE4="○",AE5="×"),"×",
IF(AND(AE3="○",AE4="○",AE5="○"),"×",
))))))))</f>
        <v>×</v>
      </c>
      <c r="P3" s="285" t="str">
        <f xml:space="preserve">
IF(AND(AE3="×",AE4="×",AE5="×"),"【要修正】いずれかのボックスにチェックしてください。",
IF(AND(AE3="×",AE4="×",AE5="○"),"適切に入力がされました。",
IF(AND(AE3="×",AE4="○",AE5="×"),"適切に入力がされました。",
IF(AND(AE3="×",AE4="○",AE5="○"),"【要修正】複数のボックスにチェックされています。（いずれか１つのみチェックしてください。）",
IF(AND(AE3="○",AE4="×",AE5="×"),"適切に入力がされました。",
IF(AND(AE3="○",AE4="×",AE5="○"),"【要修正】複数のボックスにチェックされています。（いずれか１つのみチェックしてください。）",
IF(AND(AE3="○",AE4="○",AE5="×"),"【要修正】複数のボックスにチェックされています。（いずれか１つのみチェックしてください。）",
IF(AND(AE3="○",AE4="○",AE5="○"),"【要修正】全てのボックスにチェックされています。（いずれか１つのみチェックしてください。）",
))))))))</f>
        <v>【要修正】いずれかのボックスにチェックしてください。</v>
      </c>
      <c r="Q3" s="286"/>
      <c r="R3" s="286"/>
      <c r="S3" s="286"/>
      <c r="T3" s="286"/>
      <c r="U3" s="286"/>
      <c r="V3" s="286"/>
      <c r="W3" s="286"/>
      <c r="X3" s="269"/>
      <c r="Y3" s="269"/>
      <c r="Z3" s="269"/>
      <c r="AA3" s="269"/>
      <c r="AB3" s="244"/>
      <c r="AC3" s="74"/>
      <c r="AD3" s="74"/>
      <c r="AE3" s="78" t="str">
        <f>IF(AF3=TRUE,"○","×")</f>
        <v>×</v>
      </c>
      <c r="AF3" s="109" t="b">
        <v>0</v>
      </c>
      <c r="AJ3" s="250" t="str">
        <f>IF(OR(O3="○"&amp;CHAR(10)&amp;"（法人）",O3="○"&amp;CHAR(10)&amp;"（個人）"),"",C3&amp;"/")</f>
        <v>法人・個人事業主の別/</v>
      </c>
    </row>
    <row r="4" spans="2:36" ht="30" customHeight="1" x14ac:dyDescent="0.55000000000000004">
      <c r="B4" s="74"/>
      <c r="C4" s="275"/>
      <c r="D4" s="276"/>
      <c r="E4" s="276"/>
      <c r="F4" s="276"/>
      <c r="G4" s="277"/>
      <c r="H4" s="264" t="s">
        <v>77</v>
      </c>
      <c r="I4" s="265"/>
      <c r="J4" s="265"/>
      <c r="K4" s="265"/>
      <c r="L4" s="265"/>
      <c r="M4" s="265"/>
      <c r="N4" s="266"/>
      <c r="O4" s="267"/>
      <c r="P4" s="285"/>
      <c r="Q4" s="286"/>
      <c r="R4" s="286"/>
      <c r="S4" s="286"/>
      <c r="T4" s="286"/>
      <c r="U4" s="286"/>
      <c r="V4" s="286"/>
      <c r="W4" s="286"/>
      <c r="X4" s="269"/>
      <c r="Y4" s="269"/>
      <c r="Z4" s="269"/>
      <c r="AA4" s="269"/>
      <c r="AB4" s="244"/>
      <c r="AC4" s="74"/>
      <c r="AD4" s="74"/>
      <c r="AE4" s="78" t="str">
        <f>IF(AF4=TRUE,"○","×")</f>
        <v>×</v>
      </c>
      <c r="AF4" s="109" t="b">
        <v>0</v>
      </c>
      <c r="AJ4" s="250"/>
    </row>
    <row r="5" spans="2:36" ht="30" customHeight="1" x14ac:dyDescent="0.55000000000000004">
      <c r="B5" s="74"/>
      <c r="C5" s="278"/>
      <c r="D5" s="279"/>
      <c r="E5" s="279"/>
      <c r="F5" s="279"/>
      <c r="G5" s="280"/>
      <c r="H5" s="312" t="s">
        <v>139</v>
      </c>
      <c r="I5" s="313"/>
      <c r="J5" s="313"/>
      <c r="K5" s="313"/>
      <c r="L5" s="313"/>
      <c r="M5" s="313"/>
      <c r="N5" s="314"/>
      <c r="O5" s="267"/>
      <c r="P5" s="287"/>
      <c r="Q5" s="286"/>
      <c r="R5" s="286"/>
      <c r="S5" s="286"/>
      <c r="T5" s="286"/>
      <c r="U5" s="286"/>
      <c r="V5" s="286"/>
      <c r="W5" s="286"/>
      <c r="X5" s="269"/>
      <c r="Y5" s="269"/>
      <c r="Z5" s="269"/>
      <c r="AA5" s="269"/>
      <c r="AB5" s="244"/>
      <c r="AC5" s="74"/>
      <c r="AD5" s="74"/>
      <c r="AE5" s="78" t="str">
        <f>IF(AF5=TRUE,"○","×")</f>
        <v>×</v>
      </c>
      <c r="AF5" s="109" t="b">
        <v>0</v>
      </c>
      <c r="AJ5" s="250"/>
    </row>
    <row r="6" spans="2:36" ht="30" customHeight="1" x14ac:dyDescent="0.55000000000000004">
      <c r="B6" s="74"/>
      <c r="C6" s="255" t="s">
        <v>8</v>
      </c>
      <c r="D6" s="256"/>
      <c r="E6" s="256"/>
      <c r="F6" s="256"/>
      <c r="G6" s="262"/>
      <c r="H6" s="259"/>
      <c r="I6" s="260"/>
      <c r="J6" s="260"/>
      <c r="K6" s="260"/>
      <c r="L6" s="260"/>
      <c r="M6" s="260"/>
      <c r="N6" s="261"/>
      <c r="O6" s="79" t="str">
        <f>IF(COUNTA(H6)=0,"×","○")</f>
        <v>×</v>
      </c>
      <c r="P6" s="270" t="str">
        <f>IF(O6="×","【要修正】法人の場合は法人名、個人事業主の場合は屋号を入力してください。","適切に入力がされました。")</f>
        <v>【要修正】法人の場合は法人名、個人事業主の場合は屋号を入力してください。</v>
      </c>
      <c r="Q6" s="271"/>
      <c r="R6" s="271"/>
      <c r="S6" s="271"/>
      <c r="T6" s="271"/>
      <c r="U6" s="271"/>
      <c r="V6" s="271"/>
      <c r="W6" s="271"/>
      <c r="X6" s="269"/>
      <c r="Y6" s="269"/>
      <c r="Z6" s="269"/>
      <c r="AA6" s="269"/>
      <c r="AB6" s="244"/>
      <c r="AC6" s="74"/>
      <c r="AD6" s="74"/>
      <c r="AJ6" s="80" t="str">
        <f t="shared" ref="AJ6:AJ20" si="0">IF(O6="○","",C6&amp;"/")</f>
        <v>事業者名/</v>
      </c>
    </row>
    <row r="7" spans="2:36" ht="30" customHeight="1" x14ac:dyDescent="0.55000000000000004">
      <c r="B7" s="74"/>
      <c r="C7" s="255" t="s">
        <v>9</v>
      </c>
      <c r="D7" s="256"/>
      <c r="E7" s="256"/>
      <c r="F7" s="256"/>
      <c r="G7" s="262"/>
      <c r="H7" s="259"/>
      <c r="I7" s="260"/>
      <c r="J7" s="260"/>
      <c r="K7" s="260"/>
      <c r="L7" s="260"/>
      <c r="M7" s="260"/>
      <c r="N7" s="261"/>
      <c r="O7" s="79" t="str">
        <f>IF(COUNTA(H7)=0,"×","○")</f>
        <v>×</v>
      </c>
      <c r="P7" s="270" t="str">
        <f>IF(O7="×","【要修正】代表者の職名（「理事長」等）を入力してください。","適切に入力がされました。")</f>
        <v>【要修正】代表者の職名（「理事長」等）を入力してください。</v>
      </c>
      <c r="Q7" s="271"/>
      <c r="R7" s="271"/>
      <c r="S7" s="271"/>
      <c r="T7" s="271"/>
      <c r="U7" s="271"/>
      <c r="V7" s="271"/>
      <c r="W7" s="271"/>
      <c r="X7" s="269"/>
      <c r="Y7" s="269"/>
      <c r="Z7" s="269"/>
      <c r="AA7" s="269"/>
      <c r="AB7" s="244"/>
      <c r="AC7" s="74"/>
      <c r="AD7" s="74"/>
      <c r="AE7" s="176"/>
      <c r="AF7" s="176"/>
      <c r="AG7" s="177" t="s">
        <v>47</v>
      </c>
      <c r="AH7" s="177" t="s">
        <v>35</v>
      </c>
      <c r="AI7" s="177" t="s">
        <v>36</v>
      </c>
      <c r="AJ7" s="80" t="str">
        <f t="shared" si="0"/>
        <v>代表者役職/</v>
      </c>
    </row>
    <row r="8" spans="2:36" ht="30" customHeight="1" x14ac:dyDescent="0.55000000000000004">
      <c r="B8" s="74"/>
      <c r="C8" s="255" t="s">
        <v>6</v>
      </c>
      <c r="D8" s="256"/>
      <c r="E8" s="256"/>
      <c r="F8" s="256"/>
      <c r="G8" s="262"/>
      <c r="H8" s="259"/>
      <c r="I8" s="260"/>
      <c r="J8" s="260"/>
      <c r="K8" s="260"/>
      <c r="L8" s="260"/>
      <c r="M8" s="260"/>
      <c r="N8" s="261"/>
      <c r="O8" s="79" t="str">
        <f>IF(COUNTA(H8)=0,"×","○")</f>
        <v>×</v>
      </c>
      <c r="P8" s="270" t="str">
        <f>IF(O8="×","【要修正】代表者の氏名（例：「愛知　太郎」）を入力してください。","適切に入力がされました。")</f>
        <v>【要修正】代表者の氏名（例：「愛知　太郎」）を入力してください。</v>
      </c>
      <c r="Q8" s="271"/>
      <c r="R8" s="271"/>
      <c r="S8" s="271"/>
      <c r="T8" s="271"/>
      <c r="U8" s="271"/>
      <c r="V8" s="271"/>
      <c r="W8" s="271"/>
      <c r="X8" s="269"/>
      <c r="Y8" s="269"/>
      <c r="Z8" s="269"/>
      <c r="AA8" s="269"/>
      <c r="AB8" s="244"/>
      <c r="AC8" s="74"/>
      <c r="AD8" s="74"/>
      <c r="AE8" s="177" t="s">
        <v>439</v>
      </c>
      <c r="AF8" s="178" t="str">
        <f>表紙!$V$8</f>
        <v>実績報告</v>
      </c>
      <c r="AG8" s="179"/>
      <c r="AH8" s="180"/>
      <c r="AI8" s="180"/>
      <c r="AJ8" s="80" t="str">
        <f t="shared" si="0"/>
        <v>代表者氏名/</v>
      </c>
    </row>
    <row r="9" spans="2:36" ht="30" customHeight="1" x14ac:dyDescent="0.55000000000000004">
      <c r="B9" s="74"/>
      <c r="C9" s="255" t="s">
        <v>17</v>
      </c>
      <c r="D9" s="256"/>
      <c r="E9" s="256"/>
      <c r="F9" s="256"/>
      <c r="G9" s="262"/>
      <c r="H9" s="259"/>
      <c r="I9" s="260"/>
      <c r="J9" s="260"/>
      <c r="K9" s="260"/>
      <c r="L9" s="260"/>
      <c r="M9" s="260"/>
      <c r="N9" s="261"/>
      <c r="O9" s="79" t="str">
        <f>IF(COUNTA(H9)=0,"×","○")</f>
        <v>×</v>
      </c>
      <c r="P9" s="270" t="str">
        <f>IF(O9="×","【要修正】法人の場合は法人所在地、個人事業主の場合は貴医療機関の所在地を入力してください","適切に入力がされました。")</f>
        <v>【要修正】法人の場合は法人所在地、個人事業主の場合は貴医療機関の所在地を入力してください</v>
      </c>
      <c r="Q9" s="271"/>
      <c r="R9" s="271"/>
      <c r="S9" s="271"/>
      <c r="T9" s="271"/>
      <c r="U9" s="271"/>
      <c r="V9" s="271"/>
      <c r="W9" s="271"/>
      <c r="X9" s="269"/>
      <c r="Y9" s="269"/>
      <c r="Z9" s="269"/>
      <c r="AA9" s="269"/>
      <c r="AB9" s="244"/>
      <c r="AC9" s="74"/>
      <c r="AD9" s="74"/>
      <c r="AE9" s="177" t="s">
        <v>435</v>
      </c>
      <c r="AF9" s="177" t="s">
        <v>437</v>
      </c>
      <c r="AG9" s="180">
        <v>2022</v>
      </c>
      <c r="AH9" s="180">
        <v>8</v>
      </c>
      <c r="AI9" s="180">
        <v>10</v>
      </c>
      <c r="AJ9" s="80" t="str">
        <f t="shared" si="0"/>
        <v>所在地/</v>
      </c>
    </row>
    <row r="10" spans="2:36" ht="30" customHeight="1" x14ac:dyDescent="0.55000000000000004">
      <c r="B10" s="74"/>
      <c r="C10" s="255" t="s">
        <v>39</v>
      </c>
      <c r="D10" s="256"/>
      <c r="E10" s="256"/>
      <c r="F10" s="256"/>
      <c r="G10" s="262"/>
      <c r="H10" s="259"/>
      <c r="I10" s="260"/>
      <c r="J10" s="260"/>
      <c r="K10" s="260"/>
      <c r="L10" s="260"/>
      <c r="M10" s="260"/>
      <c r="N10" s="261"/>
      <c r="O10" s="79" t="str">
        <f xml:space="preserve">
IF(O3="×","×",
IF(AND(OR(O3="○"&amp;CHAR(10)&amp;"（個人）",O3="○"&amp;CHAR(10)&amp;"（法人）"),H10=""),"×",
IF(AND(O3="○"&amp;CHAR(10)&amp;"（法人）",H6=H10),"×",
IF(AND(O3="○"&amp;CHAR(10)&amp;"（法人）",H6&lt;&gt;H10),"○",
IF(AND(O3="○"&amp;CHAR(10)&amp;"（個人）",H6=H10),"○",
IF(AND(O3="○"&amp;CHAR(10)&amp;"（個人）",H6&lt;&gt;H10),"×",
IF(AND(O3="○"&amp;CHAR(10)&amp;"（公立）",H6=H10),"×",
IF(AND(O3="○"&amp;CHAR(10)&amp;"（公立）",H6&lt;&gt;H10),"○"
))))))))</f>
        <v>×</v>
      </c>
      <c r="P10" s="285" t="str">
        <f xml:space="preserve">
IF(O3="×","【要修正】「法人・個人事業主の別」の入力に問題があります。",
IF(AND(OR(O3="○"&amp;CHAR(10)&amp;"（個人）",O3="○"&amp;CHAR(10)&amp;"（法人）",O3="○"&amp;CHAR(10)&amp;"（公立）"),H10=""),"【要修正】医療機関の施設名称を入力してください。",
IF(AND(O3="○"&amp;CHAR(10)&amp;"（法人）",H6=H10),"【要修正】法人名ではなく、施設名を入力してください。（「医療法人」等は記載不要）",
IF(AND(O3="○"&amp;CHAR(10)&amp;"（法人）",H6&lt;&gt;H10),"適切に入力がされました。",
IF(AND(O3="○"&amp;CHAR(10)&amp;"（個人）",H6=H10),"適切に入力がされました。",
IF(AND(O3="○"&amp;CHAR(10)&amp;"（個人）",H6&lt;&gt;H10),"【要修正】個人事業主の場合は「事業者名」欄と一致するように入力してください。（コピー＆貼り付け入力推奨）",
IF(AND(O3="○"&amp;CHAR(10)&amp;"（公立）",H6=H10),"【要修正】自治体名ではなく、施設名を入力してください。（自治体名の記載は不要）",
IF(AND(O3="○"&amp;CHAR(10)&amp;"（公立）",H6&lt;&gt;H10),"適切に入力がされました。"
))))))))</f>
        <v>【要修正】「法人・個人事業主の別」の入力に問題があります。</v>
      </c>
      <c r="Q10" s="286"/>
      <c r="R10" s="286"/>
      <c r="S10" s="286"/>
      <c r="T10" s="286"/>
      <c r="U10" s="286"/>
      <c r="V10" s="286"/>
      <c r="W10" s="286"/>
      <c r="X10" s="269"/>
      <c r="Y10" s="269"/>
      <c r="Z10" s="269"/>
      <c r="AA10" s="269"/>
      <c r="AB10" s="244"/>
      <c r="AC10" s="74"/>
      <c r="AD10" s="74"/>
      <c r="AE10" s="177"/>
      <c r="AF10" s="177" t="s">
        <v>438</v>
      </c>
      <c r="AG10" s="180">
        <v>2022</v>
      </c>
      <c r="AH10" s="180">
        <v>8</v>
      </c>
      <c r="AI10" s="180">
        <v>19</v>
      </c>
      <c r="AJ10" s="80" t="str">
        <f xml:space="preserve">
IF(O3="×","",
IF(AND(OR(O3="○"&amp;CHAR(10)&amp;"（個人）",O3="○"&amp;CHAR(10)&amp;"（法人）",O3="○"&amp;CHAR(10)&amp;"（公立）"),H10=""),C10,
IF(AND(O3="○"&amp;CHAR(10)&amp;"（法人）",H6=H10),C10,
IF(AND(O3="○"&amp;CHAR(10)&amp;"（法人）",H6&lt;&gt;H10),"",
IF(AND(O3="○"&amp;CHAR(10)&amp;"（個人）",H6=H10),"",
IF(AND(O3="○"&amp;CHAR(10)&amp;"（個人）",H6&lt;&gt;H10),C10,
IF(AND(O3="○"&amp;CHAR(10)&amp;"（公立）",H6=H10),C10,
IF(AND(O3="○"&amp;CHAR(10)&amp;"（公立）",H6&lt;&gt;H10),""
))))))))</f>
        <v/>
      </c>
    </row>
    <row r="11" spans="2:36" ht="30" customHeight="1" x14ac:dyDescent="0.55000000000000004">
      <c r="B11" s="81"/>
      <c r="C11" s="255" t="s">
        <v>33</v>
      </c>
      <c r="D11" s="256"/>
      <c r="E11" s="256"/>
      <c r="F11" s="256"/>
      <c r="G11" s="262"/>
      <c r="H11" s="259"/>
      <c r="I11" s="260"/>
      <c r="J11" s="260"/>
      <c r="K11" s="260"/>
      <c r="L11" s="260"/>
      <c r="M11" s="260"/>
      <c r="N11" s="261"/>
      <c r="O11" s="79" t="str">
        <f>IF(COUNTA(H11)=0,"×","○")</f>
        <v>×</v>
      </c>
      <c r="P11" s="285" t="str">
        <f>IF(COUNTA(H11)=0,"【要修正】「施設の名称」欄に入力した施設の所在地を入力してください。","適切に入力がされました。")</f>
        <v>【要修正】「施設の名称」欄に入力した施設の所在地を入力してください。</v>
      </c>
      <c r="Q11" s="286"/>
      <c r="R11" s="286"/>
      <c r="S11" s="286"/>
      <c r="T11" s="286"/>
      <c r="U11" s="286"/>
      <c r="V11" s="286"/>
      <c r="W11" s="286"/>
      <c r="X11" s="286"/>
      <c r="Y11" s="286"/>
      <c r="Z11" s="286"/>
      <c r="AA11" s="286"/>
      <c r="AB11" s="296"/>
      <c r="AC11" s="81"/>
      <c r="AD11" s="81"/>
      <c r="AE11" s="177" t="s">
        <v>441</v>
      </c>
      <c r="AF11" s="177" t="s">
        <v>437</v>
      </c>
      <c r="AG11" s="180">
        <v>2022</v>
      </c>
      <c r="AH11" s="180">
        <v>5</v>
      </c>
      <c r="AI11" s="180">
        <v>11</v>
      </c>
      <c r="AJ11" s="80" t="str">
        <f t="shared" si="0"/>
        <v>施設所在地/</v>
      </c>
    </row>
    <row r="12" spans="2:36" ht="80.150000000000006" customHeight="1" x14ac:dyDescent="0.55000000000000004">
      <c r="B12" s="81"/>
      <c r="C12" s="255" t="s">
        <v>11</v>
      </c>
      <c r="D12" s="256"/>
      <c r="E12" s="256"/>
      <c r="F12" s="256"/>
      <c r="G12" s="262"/>
      <c r="H12" s="82" t="s">
        <v>46</v>
      </c>
      <c r="I12" s="202"/>
      <c r="J12" s="83" t="s">
        <v>47</v>
      </c>
      <c r="K12" s="202"/>
      <c r="L12" s="83" t="s">
        <v>81</v>
      </c>
      <c r="M12" s="202"/>
      <c r="N12" s="84" t="s">
        <v>82</v>
      </c>
      <c r="O12" s="79" t="str">
        <f xml:space="preserve">
IF(AND(AF8="交付申請",COUNTA(I12,K12,M12)=3,DATE(AG13,AH13,AI13)&lt;=DATE(AG12,AH12,AI12),DATE(AG13,AH13,AI13)&gt;=DATE(AG11,AH11,AI11)),"○",
IF(AND(AF8="交付申請",OR(COUNTA(I12,K12,M12)&lt;&gt;3,OR(DATE(AG13,AH13,AI13)&gt;DATE(AG12,AH12,AI12),DATE(AG13,AH13,AI13)&lt;DATE(AG11,AH11,AI11)))),"×",
IF(AND(AF8="変更申請",COUNTA(I12,K12,M12)=3,DATE(AG13,AH13,AI13)&lt;=DATE(AG10,AH10,AI10),DATE(AG13,AH13,AI13)&gt;=DATE(AG9,AH9,AI9)),"○",
IF(AND(AF8="変更申請",OR(COUNTA(I12,K12,M12)&lt;&gt;3,DATE(AG13,AH13,AI13)&gt;DATE(AG10,AH10,AI10),DATE(AG13,AH13,AI13)&lt;DATE(AG9,AH9,AI9))),"×",
IF(AND(AF8="実績報告",COUNTA(L19)&lt;&gt;1,O13="×"),
"×",
IF(AND(AF8="実績報告",COUNTA(L19)=1,O13="×"),
"×",
IF(AND(AF8="実績報告",COUNTA(L19)&lt;&gt;1,O13="○"),
"×",
IF(AND(AF8="実績報告",COUNTA(L19)=1,O13="○",OR(DATE(AG13,AH13,AI13)&lt;MAX(DATE(AG14,AH14,AI14),DATE(AG15,AH15,AI15)),DATE(AG13,AH13,AI13)&gt;MAX(DATE(AG14,AH14,AI14+30),DATE(AG15,AH15,AI15+30)))),
"×",
IF(AND(AF8="実績報告",COUNTA(L19)=1,O13="○",DATE(AG13,AH13,AI13)&gt;=MAX(DATE(AG14,AH14,AI14),DATE(AG15,AH15,AI15)),DATE(AG13,AH13,AI13)&lt;=MAX(DATE(AG14,AH14,AI14+30),DATE(AG15,AH15,AI15+30))),
"○"
)))))))))</f>
        <v>×</v>
      </c>
      <c r="P12" s="306" t="str">
        <f xml:space="preserve">
IF(AND(AF8="交付申請",COUNTA(I12,K12,M12)=3,DATE(AG13,AH13,AI13)&lt;=DATE(AG12,AH12,AI12),DATE(AG13,AH13,AI13)&gt;=DATE(AG11,AH11,AI11)),"適切に入力がされました。",
IF(AND(AF8="交付申請",OR(COUNTA(I12,K12,M12)&lt;&gt;3,OR(DATE(AG13,AH13,AI13)&gt;DATE(AG12,AH12,AI12),DATE(AG13,AH13,AI13)&lt;DATE(AG11,AH11,AI11)))),"【要修正】申請日（"&amp;TEXT(DATE(AG12,AH12,AI12),"yyyy年mm月dd日")&amp;"）までの日付を入力してください。",
IF(AND(AF8="変更申請",COUNTA(I12,K12,M12)=3,DATE(AG13,AH13,AI13)&lt;=DATE(AG10,AH10,AI10),DATE(AG13,AH13,AI13)&gt;=DATE(AG9,AH9,AI9)),"適切に入力がされました。",
IF(AND(AF8="変更申請",OR(COUNTA(I12,K12,M12)&lt;&gt;3,DATE(AG13,AH13,AI13)&gt;DATE(AG10,AH10,AI10),DATE(AG13,AH13,AI13)&lt;DATE(AG9,AH9,AI9))),"【要修正】受付期間の日付"&amp;"（"&amp;TEXT(DATE(AG9,AH9,AI9),"yyyy年mm月dd日")&amp;"～"&amp;TEXT(DATE(AG10,AH10,AI10),"mm月dd日")&amp;"）"&amp;"を入力してください。",
IF(AND(AF8="実績報告",COUNTA(L19)&lt;&gt;1,O13="×"),
"【要修正】《関連の記入欄（交付決定番号、事業完了日）が適切に入力されると×の判定は解消されます。》交付決定日、事業完了日のいずれか遅い日から30日後までの日付を入力してください。（交付決定番号及び事業完了日（いずれも下部に記入欄あり）を入力すると、提出日とすべき期間がコメントに表示されます。）",
IF(AND(AF8="実績報告",COUNTA(L19)=1,O13="×"),
"【要修正】関係項目を入力し整合が取れると判定が○となります。"&amp;CHAR(10)&amp;"・交付決定日："&amp;TEXT(DATE(AG15,AH15,AI15),"yyyy年mm月dd日")&amp;"→"&amp;TEXT(DATE(AG15,AH15,AI15),"mm月dd日")&amp;"～"&amp;TEXT(DATE(AG15,AH15,AI15+30),"mm月dd日")&amp;CHAR(10)&amp;"・事業完了日：事業完了日（下部の欄）を入力すると、交付決定日および事業完了日から提出日とすべき期間がコメントに表示されます。）",
IF(AND(AF8="実績報告",COUNTA(L19)&lt;&gt;1,O13="○"),
"【要修正】関係項目を入力し整合が取れると判定が○となります。"&amp;CHAR(10)&amp;"・交付決定日：交付決定番号（下部の欄）を入力すると、交付決定日および事業完了日から提出日とすべき期間がコメントに表示されます。）"&amp;CHAR(10)&amp;"・事業完了日："&amp;TEXT(DATE(AG14,AH14,AI14),"yyyy年mm月dd日")&amp;"→"&amp;TEXT(DATE(AG14,AH14,AI14),"mm月dd日")&amp;"～"&amp;TEXT(DATE(AG14,AH14,AI14+30),"mm月dd日"),
IF(AND(AF8="実績報告",COUNTA(L19)=1,O13="○",OR(DATE(AG13,AH13,AI13)&lt;MAX(DATE(AG14,AH14,AI14),DATE(AG15,AH15,AI15)),DATE(AG13,AH13,AI13)&gt;MAX(DATE(AG14,AH14,AI14+30),DATE(AG15,AH15,AI15+30)))),
"【要修正】交付決定日および事業完了日から提出日とすべき日付は"&amp;TEXT(MAX(DATE(AG14,AH14,AI14),DATE(AG15,AH15,AI15)),"mm月dd日")&amp;"から"&amp;TEXT(MAX(DATE(AG14,AH14,AI14+30),DATE(AG15,AH15,AI15+30)),"mm月dd日")&amp;"までとしてください。",
IF(AND(AF8="実績報告",COUNTA(L19)=1,O13="○",DATE(AG13,AH13,AI13)&gt;=MAX(DATE(AG14,AH14,AI14),DATE(AG15,AH15,AI15)),DATE(AG13,AH13,AI13)&lt;=MAX(DATE(AG14,AH14,AI14+30),DATE(AG15,AH15,AI15+30))),
"適切に入力がされました。"
)))))))))</f>
        <v>【要修正】《関連の記入欄（交付決定番号、事業完了日）が適切に入力されると×の判定は解消されます。》交付決定日、事業完了日のいずれか遅い日から30日後までの日付を入力してください。（交付決定番号及び事業完了日（いずれも下部に記入欄あり）を入力すると、提出日とすべき期間がコメントに表示されます。）</v>
      </c>
      <c r="Q12" s="307"/>
      <c r="R12" s="307"/>
      <c r="S12" s="307"/>
      <c r="T12" s="307"/>
      <c r="U12" s="307"/>
      <c r="V12" s="307"/>
      <c r="W12" s="307"/>
      <c r="X12" s="307"/>
      <c r="Y12" s="307"/>
      <c r="Z12" s="307"/>
      <c r="AA12" s="307"/>
      <c r="AB12" s="308"/>
      <c r="AC12" s="81"/>
      <c r="AD12" s="81"/>
      <c r="AE12" s="177" t="s">
        <v>441</v>
      </c>
      <c r="AF12" s="177" t="s">
        <v>438</v>
      </c>
      <c r="AG12" s="177">
        <v>2022</v>
      </c>
      <c r="AH12" s="177">
        <v>6</v>
      </c>
      <c r="AI12" s="177">
        <v>10</v>
      </c>
      <c r="AJ12" s="80" t="str">
        <f>IF(O12="○","",C12&amp;"/")</f>
        <v>提出日/</v>
      </c>
    </row>
    <row r="13" spans="2:36" ht="30" customHeight="1" x14ac:dyDescent="0.55000000000000004">
      <c r="B13" s="81"/>
      <c r="C13" s="255" t="str">
        <f xml:space="preserve">
IF(表紙!V8="交付申請","事業完了予定日",
IF(表紙!V8="変更申請","事業完了予定日",
IF(表紙!V8="実績報告","事業完了日")))</f>
        <v>事業完了日</v>
      </c>
      <c r="D13" s="256"/>
      <c r="E13" s="256"/>
      <c r="F13" s="256"/>
      <c r="G13" s="262"/>
      <c r="H13" s="82" t="s">
        <v>46</v>
      </c>
      <c r="I13" s="202"/>
      <c r="J13" s="83" t="s">
        <v>47</v>
      </c>
      <c r="K13" s="202"/>
      <c r="L13" s="83" t="s">
        <v>81</v>
      </c>
      <c r="M13" s="202"/>
      <c r="N13" s="84" t="s">
        <v>82</v>
      </c>
      <c r="O13" s="79" t="str">
        <f xml:space="preserve">
IF(AND(COUNTA(I13,K13,M13)=3,DATE(AG14,AH14,AI14)&gt;=DATE(AG18,AH18,AI18),DATE(AG14,AH14,AI14)&lt;=DATE(AG16,AH16,AI16)),"○",
IF(OR(COUNTA(I13,K13,M13)&lt;&gt;3,DATE(AG14,AH14,AI14)&lt;DATE(AG18,AH18,AI18),DATE(AG14,AH14,AI14)&gt;DATE(AG16,AH16,AI16)),"×"))</f>
        <v>×</v>
      </c>
      <c r="P13" s="315" t="str">
        <f xml:space="preserve">
IF(AND(COUNTA(I13,K13,M13)=3,DATE(AG14,AH14,AI14)&gt;=DATE(AG18,AH18,AI18),DATE(AG14,AH14,AI14)&lt;=DATE(AG16,AH16,AI16)),"適切に入力がされました。",
IF(OR(COUNTA(I13,K13,M13)&lt;&gt;3,DATE(AG14,AH14,AI14)&lt;DATE(AG18,AH18,AI18),DATE(AG14,AH14,AI14)&gt;DATE(AG16,AH16,AI16)),"【要修正】令和５年３月３１日までの日付を入力してください。"))</f>
        <v>【要修正】令和５年３月３１日までの日付を入力してください。</v>
      </c>
      <c r="Q13" s="286"/>
      <c r="R13" s="286"/>
      <c r="S13" s="286"/>
      <c r="T13" s="286"/>
      <c r="U13" s="286"/>
      <c r="V13" s="286"/>
      <c r="W13" s="286"/>
      <c r="X13" s="286"/>
      <c r="Y13" s="286"/>
      <c r="Z13" s="286"/>
      <c r="AA13" s="286"/>
      <c r="AB13" s="296"/>
      <c r="AC13" s="81"/>
      <c r="AD13" s="81"/>
      <c r="AE13" s="181" t="s">
        <v>11</v>
      </c>
      <c r="AF13" s="180"/>
      <c r="AG13" s="180">
        <f>IF(I12=4,2022,IF(I12=5,2023,2022))</f>
        <v>2022</v>
      </c>
      <c r="AH13" s="180">
        <f>IF(K12="",4,K12)</f>
        <v>4</v>
      </c>
      <c r="AI13" s="180">
        <f>IF(M12="",1,M12)</f>
        <v>1</v>
      </c>
      <c r="AJ13" s="80" t="str">
        <f>IF(O13="○","",C13&amp;"/")</f>
        <v>事業完了日/</v>
      </c>
    </row>
    <row r="14" spans="2:36" ht="30" customHeight="1" x14ac:dyDescent="0.55000000000000004">
      <c r="B14" s="81"/>
      <c r="C14" s="255" t="s">
        <v>12</v>
      </c>
      <c r="D14" s="256"/>
      <c r="E14" s="256"/>
      <c r="F14" s="256"/>
      <c r="G14" s="262"/>
      <c r="H14" s="259"/>
      <c r="I14" s="260"/>
      <c r="J14" s="260"/>
      <c r="K14" s="260"/>
      <c r="L14" s="260"/>
      <c r="M14" s="260"/>
      <c r="N14" s="261"/>
      <c r="O14" s="79" t="s">
        <v>84</v>
      </c>
      <c r="P14" s="285" t="s">
        <v>138</v>
      </c>
      <c r="Q14" s="286"/>
      <c r="R14" s="286"/>
      <c r="S14" s="286"/>
      <c r="T14" s="286"/>
      <c r="U14" s="286"/>
      <c r="V14" s="286"/>
      <c r="W14" s="286"/>
      <c r="X14" s="286"/>
      <c r="Y14" s="286"/>
      <c r="Z14" s="286"/>
      <c r="AA14" s="286"/>
      <c r="AB14" s="296"/>
      <c r="AC14" s="81"/>
      <c r="AD14" s="81"/>
      <c r="AE14" s="177" t="s">
        <v>442</v>
      </c>
      <c r="AF14" s="176"/>
      <c r="AG14" s="180">
        <f>IF(I13=4,2022,IF(I13=5,2023,2022))</f>
        <v>2022</v>
      </c>
      <c r="AH14" s="180">
        <f>IF(K13="",4,K13)</f>
        <v>4</v>
      </c>
      <c r="AI14" s="180">
        <f>IF(M13="",1,M13)</f>
        <v>1</v>
      </c>
      <c r="AJ14" s="80" t="str">
        <f>IF(O14="○","",C14&amp;"/")</f>
        <v/>
      </c>
    </row>
    <row r="15" spans="2:36" ht="30" customHeight="1" x14ac:dyDescent="0.55000000000000004">
      <c r="B15" s="74"/>
      <c r="C15" s="255" t="s">
        <v>13</v>
      </c>
      <c r="D15" s="256"/>
      <c r="E15" s="256"/>
      <c r="F15" s="256"/>
      <c r="G15" s="262"/>
      <c r="H15" s="259"/>
      <c r="I15" s="260"/>
      <c r="J15" s="260"/>
      <c r="K15" s="260"/>
      <c r="L15" s="260"/>
      <c r="M15" s="260"/>
      <c r="N15" s="261"/>
      <c r="O15" s="79" t="str">
        <f>IF(COUNTA(H15)=0,"×","○")</f>
        <v>×</v>
      </c>
      <c r="P15" s="270" t="str">
        <f>IF(COUNTA(H15)=0,"【要修正】御担当の所属部署名、部署を置いていない場合は職務（医師、事務等）を入力してください。","適切に入力がされました。")</f>
        <v>【要修正】御担当の所属部署名、部署を置いていない場合は職務（医師、事務等）を入力してください。</v>
      </c>
      <c r="Q15" s="271"/>
      <c r="R15" s="271"/>
      <c r="S15" s="271"/>
      <c r="T15" s="271"/>
      <c r="U15" s="271"/>
      <c r="V15" s="271"/>
      <c r="W15" s="271"/>
      <c r="X15" s="269"/>
      <c r="Y15" s="269"/>
      <c r="Z15" s="269"/>
      <c r="AA15" s="269"/>
      <c r="AB15" s="244"/>
      <c r="AC15" s="74"/>
      <c r="AD15" s="74"/>
      <c r="AE15" s="177" t="s">
        <v>434</v>
      </c>
      <c r="AF15" s="176"/>
      <c r="AG15" s="180" t="e">
        <f>VLOOKUP(L19,リスト!A:AA,25,FALSE)</f>
        <v>#N/A</v>
      </c>
      <c r="AH15" s="180" t="e">
        <f>VLOOKUP(L19,リスト!A:AA,26,FALSE)</f>
        <v>#N/A</v>
      </c>
      <c r="AI15" s="180" t="e">
        <f>VLOOKUP(L19,リスト!A:AA,27,FALSE)</f>
        <v>#N/A</v>
      </c>
      <c r="AJ15" s="80" t="str">
        <f t="shared" si="0"/>
        <v>担当部署/</v>
      </c>
    </row>
    <row r="16" spans="2:36" ht="30" customHeight="1" x14ac:dyDescent="0.55000000000000004">
      <c r="B16" s="74"/>
      <c r="C16" s="255" t="s">
        <v>14</v>
      </c>
      <c r="D16" s="256"/>
      <c r="E16" s="256"/>
      <c r="F16" s="256"/>
      <c r="G16" s="262"/>
      <c r="H16" s="259"/>
      <c r="I16" s="260"/>
      <c r="J16" s="260"/>
      <c r="K16" s="260"/>
      <c r="L16" s="260"/>
      <c r="M16" s="260"/>
      <c r="N16" s="261"/>
      <c r="O16" s="79" t="str">
        <f>IF(COUNTA(H16)=0,"×","○")</f>
        <v>×</v>
      </c>
      <c r="P16" s="270" t="str">
        <f>IF(COUNTA(H16)=0,"【要修正】この申請をご担当される方の氏名（フルネーム）を入力してください。（例：愛知　太郎）","適切に入力がされました。")</f>
        <v>【要修正】この申請をご担当される方の氏名（フルネーム）を入力してください。（例：愛知　太郎）</v>
      </c>
      <c r="Q16" s="271"/>
      <c r="R16" s="271"/>
      <c r="S16" s="271"/>
      <c r="T16" s="271"/>
      <c r="U16" s="271"/>
      <c r="V16" s="271"/>
      <c r="W16" s="271"/>
      <c r="X16" s="269"/>
      <c r="Y16" s="269"/>
      <c r="Z16" s="269"/>
      <c r="AA16" s="269"/>
      <c r="AB16" s="244"/>
      <c r="AC16" s="74"/>
      <c r="AD16" s="74"/>
      <c r="AE16" s="177" t="s">
        <v>440</v>
      </c>
      <c r="AF16" s="176"/>
      <c r="AG16" s="180">
        <v>2023</v>
      </c>
      <c r="AH16" s="180">
        <v>3</v>
      </c>
      <c r="AI16" s="180">
        <v>31</v>
      </c>
      <c r="AJ16" s="80" t="str">
        <f t="shared" si="0"/>
        <v>担当者名/</v>
      </c>
    </row>
    <row r="17" spans="2:38" ht="30" customHeight="1" x14ac:dyDescent="0.55000000000000004">
      <c r="B17" s="74"/>
      <c r="C17" s="255" t="s">
        <v>73</v>
      </c>
      <c r="D17" s="256"/>
      <c r="E17" s="256"/>
      <c r="F17" s="256"/>
      <c r="G17" s="262"/>
      <c r="H17" s="259"/>
      <c r="I17" s="260"/>
      <c r="J17" s="260"/>
      <c r="K17" s="260"/>
      <c r="L17" s="260"/>
      <c r="M17" s="260"/>
      <c r="N17" s="261"/>
      <c r="O17" s="79" t="str">
        <f>IF(COUNTA(H17)=0,"×","○")</f>
        <v>×</v>
      </c>
      <c r="P17" s="270" t="str">
        <f>IF(COUNTA(H17)=0,"【要修正】申請に関するやりとりをするための電話番号を入力してください。","適切に入力がされました。")</f>
        <v>【要修正】申請に関するやりとりをするための電話番号を入力してください。</v>
      </c>
      <c r="Q17" s="271"/>
      <c r="R17" s="271"/>
      <c r="S17" s="271"/>
      <c r="T17" s="271"/>
      <c r="U17" s="271"/>
      <c r="V17" s="271"/>
      <c r="W17" s="271"/>
      <c r="X17" s="269"/>
      <c r="Y17" s="269"/>
      <c r="Z17" s="269"/>
      <c r="AA17" s="269"/>
      <c r="AB17" s="244"/>
      <c r="AC17" s="74"/>
      <c r="AD17" s="74"/>
      <c r="AJ17" s="80" t="str">
        <f t="shared" si="0"/>
        <v>電話番号（担当直通）/</v>
      </c>
      <c r="AL17" s="75" t="s">
        <v>137</v>
      </c>
    </row>
    <row r="18" spans="2:38" ht="30" customHeight="1" x14ac:dyDescent="0.55000000000000004">
      <c r="B18" s="74"/>
      <c r="C18" s="255" t="s">
        <v>74</v>
      </c>
      <c r="D18" s="256"/>
      <c r="E18" s="256"/>
      <c r="F18" s="256"/>
      <c r="G18" s="262"/>
      <c r="H18" s="288"/>
      <c r="I18" s="289"/>
      <c r="J18" s="289"/>
      <c r="K18" s="289"/>
      <c r="L18" s="289"/>
      <c r="M18" s="289"/>
      <c r="N18" s="290"/>
      <c r="O18" s="79" t="str">
        <f>IF(COUNTA(H18)=0,"×","○")</f>
        <v>×</v>
      </c>
      <c r="P18" s="270" t="str">
        <f>IF(COUNTA(H18)=0,"【要修正】【重要】申請に関するやりとりをするためのメールアドレスを入力してください。","適切に入力がされました。")</f>
        <v>【要修正】【重要】申請に関するやりとりをするためのメールアドレスを入力してください。</v>
      </c>
      <c r="Q18" s="271"/>
      <c r="R18" s="271"/>
      <c r="S18" s="271"/>
      <c r="T18" s="271"/>
      <c r="U18" s="271"/>
      <c r="V18" s="271"/>
      <c r="W18" s="271"/>
      <c r="X18" s="269"/>
      <c r="Y18" s="269"/>
      <c r="Z18" s="269"/>
      <c r="AA18" s="269"/>
      <c r="AB18" s="244"/>
      <c r="AC18" s="74"/>
      <c r="AD18" s="74"/>
      <c r="AG18" s="182">
        <v>2022</v>
      </c>
      <c r="AH18" s="182">
        <v>4</v>
      </c>
      <c r="AI18" s="182">
        <v>1</v>
      </c>
      <c r="AJ18" s="80" t="str">
        <f t="shared" si="0"/>
        <v>Mailｱﾄﾞﾚｽ（担当直通）/</v>
      </c>
      <c r="AL18" s="75" t="s">
        <v>136</v>
      </c>
    </row>
    <row r="19" spans="2:38" ht="57.65" customHeight="1" x14ac:dyDescent="0.55000000000000004">
      <c r="B19" s="74"/>
      <c r="C19" s="255" t="str">
        <f xml:space="preserve">
IF(表紙!V8="交付申請","－",
IF(表紙!V8="変更申請","既交付決定通知番号",
IF(表紙!V8="実績報告","既交付決定通知番号")))</f>
        <v>既交付決定通知番号</v>
      </c>
      <c r="D19" s="256"/>
      <c r="E19" s="256"/>
      <c r="F19" s="256"/>
      <c r="G19" s="262"/>
      <c r="H19" s="304" t="s">
        <v>472</v>
      </c>
      <c r="I19" s="305"/>
      <c r="J19" s="305"/>
      <c r="K19" s="305"/>
      <c r="L19" s="302"/>
      <c r="M19" s="303"/>
      <c r="N19" s="166" t="s">
        <v>436</v>
      </c>
      <c r="O19" s="79" t="str">
        <f xml:space="preserve">
IF(C19="－","○",
IF(AND(C19="既交付決定通知番号",COUNTA(L19)=0),"×",
IF(AND(C19="既交付決定通知番号",COUNTA(L19)=1),"○"
)))</f>
        <v>×</v>
      </c>
      <c r="P19" s="270" t="str">
        <f xml:space="preserve">
IF(C19="－","入力不要です。",
IF(AND(C19="既交付決定通知番号",COUNTA(L19)=0),"【要修正】郵送された交付決定通知書を確認し、右肩に記載の番号をプルダウンから選択してください。",
IF(AND(C19="既交付決定通知番号",COUNTA(L19)=1),"正常に入力がされました。"
)))</f>
        <v>【要修正】郵送された交付決定通知書を確認し、右肩に記載の番号をプルダウンから選択してください。</v>
      </c>
      <c r="Q19" s="300"/>
      <c r="R19" s="300"/>
      <c r="S19" s="300"/>
      <c r="T19" s="300"/>
      <c r="U19" s="300"/>
      <c r="V19" s="300"/>
      <c r="W19" s="300"/>
      <c r="X19" s="300"/>
      <c r="Y19" s="300"/>
      <c r="Z19" s="300"/>
      <c r="AA19" s="300"/>
      <c r="AB19" s="301"/>
      <c r="AC19" s="74"/>
      <c r="AD19" s="74"/>
      <c r="AE19" s="107" t="str">
        <f>"検査第"&amp;L19&amp;"号"</f>
        <v>検査第号</v>
      </c>
      <c r="AJ19" s="80" t="str">
        <f t="shared" si="0"/>
        <v>既交付決定通知番号/</v>
      </c>
    </row>
    <row r="20" spans="2:38" ht="30" hidden="1" customHeight="1" x14ac:dyDescent="0.55000000000000004">
      <c r="B20" s="74"/>
      <c r="C20" s="255" t="str">
        <f xml:space="preserve">
IF(表紙!V8="交付申請","－",
IF(表紙!V8="変更申請","既交付決定額",
IF(表紙!V8="実績報告","既交付決定額")))</f>
        <v>既交付決定額</v>
      </c>
      <c r="D20" s="256"/>
      <c r="E20" s="256"/>
      <c r="F20" s="256"/>
      <c r="G20" s="262"/>
      <c r="H20" s="297">
        <v>1000</v>
      </c>
      <c r="I20" s="298"/>
      <c r="J20" s="298"/>
      <c r="K20" s="298"/>
      <c r="L20" s="298"/>
      <c r="M20" s="298"/>
      <c r="N20" s="299"/>
      <c r="O20" s="79" t="str">
        <f xml:space="preserve">
IF(C20="－","○",
IF(AND(C20="既交付決定額",COUNTA(H20)=0),"×",
IF(AND(C20="既交付決定額",COUNTA(H20)=1),"○"
)))</f>
        <v>○</v>
      </c>
      <c r="P20" s="270" t="str">
        <f xml:space="preserve">
IF(C20="－","入力不要です。",
IF(AND(C20="既交付決定額",COUNTA(H20)=0),"【要修正】金額を入力してください。（値のみ。「円」は不要です。）",
IF(AND(C20="既交付決定額",COUNTA(H20)=1),"正常に入力がされました。"
)))</f>
        <v>正常に入力がされました。</v>
      </c>
      <c r="Q20" s="300"/>
      <c r="R20" s="300"/>
      <c r="S20" s="300"/>
      <c r="T20" s="300"/>
      <c r="U20" s="300"/>
      <c r="V20" s="300"/>
      <c r="W20" s="300"/>
      <c r="X20" s="300"/>
      <c r="Y20" s="300"/>
      <c r="Z20" s="300"/>
      <c r="AA20" s="300"/>
      <c r="AB20" s="301"/>
      <c r="AC20" s="74"/>
      <c r="AD20" s="74"/>
      <c r="AJ20" s="80" t="str">
        <f t="shared" si="0"/>
        <v/>
      </c>
    </row>
    <row r="21" spans="2:38" ht="200.15" hidden="1" customHeight="1" x14ac:dyDescent="0.55000000000000004">
      <c r="B21" s="74"/>
      <c r="C21" s="267" t="s">
        <v>135</v>
      </c>
      <c r="D21" s="251"/>
      <c r="E21" s="251"/>
      <c r="F21" s="251"/>
      <c r="G21" s="251"/>
      <c r="H21" s="291" t="s">
        <v>137</v>
      </c>
      <c r="I21" s="292"/>
      <c r="J21" s="292"/>
      <c r="K21" s="292"/>
      <c r="L21" s="292"/>
      <c r="M21" s="292"/>
      <c r="N21" s="293"/>
      <c r="O21" s="79" t="str">
        <f>IF(H21=AL17,"○",IF(H21="","×",IF(H21=AL18,"×")))</f>
        <v>○</v>
      </c>
      <c r="P21" s="294" t="str">
        <f xml:space="preserve">
IF(H21=AL17,"適切に入力がされました。",
IF(H21="","【下記いずれにも該当する場合、「申立てする」を選択してください。】"&amp;CHAR(10)&amp;"・補助を受ける経費について他の補助金等の交付を受けていないこと。"&amp;CHAR(10)&amp;"・本補助金により整備の物品は新型コロナウイルス感染症対策の目的以外に使用しないこと。"&amp;CHAR(10)&amp;"・愛知県等から感染症法に基づく行政検査の依頼があった場合に休日等問わず迅速かつ確実に検査を実施できる体制が確保されていること。"&amp;CHAR(10)&amp;"・県との委託契約に基づき行政検査を実施した際は、検査結果が陽性の場合に新型コロナウイルス感染者等情報把握・管理支援システム（HER-SYS）に検査の結果を入力すること。　"&amp;CHAR(10)&amp;"・本補助金の収入、支出等に係る証拠書類を５年間適切に整備保管すること。"&amp;CHAR(10)&amp;"・暴力団員又は暴力団関係者と実質を含めいかなる関係も有していないこと。",
IF(H21=AL18,"【申請する場合は要修正】
申立事項に該当しない申請者に対して交付を行うことはできません。")))</f>
        <v>適切に入力がされました。</v>
      </c>
      <c r="Q21" s="295"/>
      <c r="R21" s="295"/>
      <c r="S21" s="295"/>
      <c r="T21" s="295"/>
      <c r="U21" s="295"/>
      <c r="V21" s="295"/>
      <c r="W21" s="295"/>
      <c r="X21" s="295"/>
      <c r="Y21" s="295"/>
      <c r="Z21" s="295"/>
      <c r="AA21" s="295"/>
      <c r="AB21" s="295"/>
      <c r="AC21" s="74"/>
      <c r="AD21" s="74"/>
      <c r="AF21" s="85"/>
      <c r="AJ21" s="80" t="str">
        <f>IF(O21="○","","申立事項/")</f>
        <v/>
      </c>
    </row>
    <row r="22" spans="2:38" ht="15" customHeight="1" x14ac:dyDescent="0.55000000000000004">
      <c r="B22" s="74"/>
      <c r="C22" s="86"/>
      <c r="D22" s="87"/>
      <c r="E22" s="87"/>
      <c r="F22" s="87"/>
      <c r="G22" s="87"/>
      <c r="H22" s="87"/>
      <c r="I22" s="88"/>
      <c r="J22" s="88"/>
      <c r="K22" s="88"/>
      <c r="L22" s="88"/>
      <c r="M22" s="88"/>
      <c r="N22" s="88"/>
      <c r="O22" s="89"/>
      <c r="P22" s="90"/>
      <c r="Q22" s="91"/>
      <c r="R22" s="91"/>
      <c r="S22" s="91"/>
      <c r="T22" s="91"/>
      <c r="U22" s="91"/>
      <c r="V22" s="91"/>
      <c r="W22" s="91"/>
      <c r="X22" s="74"/>
      <c r="Y22" s="74"/>
      <c r="Z22" s="74"/>
      <c r="AA22" s="74"/>
      <c r="AB22" s="74"/>
      <c r="AC22" s="74"/>
      <c r="AD22" s="74"/>
      <c r="AJ22" s="92"/>
    </row>
    <row r="23" spans="2:38" ht="40" customHeight="1" x14ac:dyDescent="0.55000000000000004">
      <c r="C23" s="93" t="s">
        <v>227</v>
      </c>
      <c r="D23" s="232" t="s">
        <v>192</v>
      </c>
      <c r="E23" s="233"/>
      <c r="F23" s="94" t="str">
        <f>IF(COUNTIF(O3:O21,"×")&gt;=1,"×","○")</f>
        <v>×</v>
      </c>
      <c r="G23" s="236" t="str">
        <f>IF(F23="○","適切に入力がされました。","【要修正】次の項目が適切に入力されているかご確認ください→"&amp;AJ3&amp;AJ6&amp;AJ7&amp;AJ8&amp;AJ9&amp;AJ10&amp;AJ11&amp;AJ12&amp;AJ13&amp;AJ14&amp;AJ15&amp;AJ16&amp;AJ17&amp;AJ18&amp;AJ19&amp;AJ20&amp;AJ21)</f>
        <v>【要修正】次の項目が適切に入力されているかご確認ください→法人・個人事業主の別/事業者名/代表者役職/代表者氏名/所在地/施設所在地/提出日/事業完了日/担当部署/担当者名/電話番号（担当直通）/Mailｱﾄﾞﾚｽ（担当直通）/既交付決定通知番号/</v>
      </c>
      <c r="H23" s="236"/>
      <c r="I23" s="236"/>
      <c r="J23" s="236"/>
      <c r="K23" s="236"/>
      <c r="L23" s="236"/>
      <c r="M23" s="236"/>
      <c r="N23" s="236"/>
      <c r="O23" s="236"/>
      <c r="P23" s="236"/>
      <c r="Q23" s="251"/>
      <c r="R23" s="251"/>
      <c r="S23" s="251"/>
      <c r="T23" s="251"/>
      <c r="U23" s="251"/>
      <c r="V23" s="251"/>
      <c r="W23" s="251"/>
      <c r="X23" s="251"/>
      <c r="Y23" s="251"/>
      <c r="Z23" s="251"/>
      <c r="AA23" s="251"/>
      <c r="AB23" s="251"/>
      <c r="AE23" s="95" t="str">
        <f>IF(COUNTA(H6,H7,H8,H9,H12,H15,H16,H17,H18)=9,"○","×")</f>
        <v>×</v>
      </c>
      <c r="AJ23" s="76" t="str">
        <f>AJ3&amp;AJ6&amp;AJ7&amp;AJ8&amp;AJ9&amp;AJ10&amp;AJ11&amp;AJ12&amp;AJ14&amp;AJ15&amp;AJ16&amp;AJ17&amp;AJ18&amp;AJ19&amp;AJ20&amp;AJ21</f>
        <v>法人・個人事業主の別/事業者名/代表者役職/代表者氏名/所在地/施設所在地/提出日/担当部署/担当者名/電話番号（担当直通）/Mailｱﾄﾞﾚｽ（担当直通）/既交付決定通知番号/</v>
      </c>
    </row>
    <row r="24" spans="2:38" ht="15" customHeight="1" x14ac:dyDescent="0.55000000000000004">
      <c r="C24" s="96"/>
      <c r="D24" s="97"/>
      <c r="E24" s="98"/>
      <c r="F24" s="98"/>
      <c r="G24" s="99"/>
      <c r="H24" s="99"/>
      <c r="I24" s="99"/>
      <c r="J24" s="99"/>
      <c r="K24" s="99"/>
      <c r="L24" s="99"/>
      <c r="M24" s="99"/>
      <c r="N24" s="99"/>
      <c r="O24" s="99"/>
      <c r="P24" s="99"/>
      <c r="Q24" s="74"/>
      <c r="R24" s="74"/>
      <c r="S24" s="74"/>
      <c r="T24" s="74"/>
      <c r="U24" s="74"/>
      <c r="V24" s="74"/>
      <c r="W24" s="74"/>
      <c r="X24" s="74"/>
      <c r="Y24" s="74"/>
      <c r="Z24" s="74"/>
      <c r="AA24" s="74"/>
      <c r="AB24" s="74"/>
      <c r="AE24" s="95"/>
    </row>
    <row r="25" spans="2:38" ht="120" customHeight="1" x14ac:dyDescent="0.55000000000000004">
      <c r="C25" s="283" t="s">
        <v>134</v>
      </c>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row>
    <row r="26" spans="2:38" ht="20.149999999999999" customHeight="1" x14ac:dyDescent="0.55000000000000004">
      <c r="C26" s="100"/>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row>
    <row r="27" spans="2:38" ht="60" customHeight="1" x14ac:dyDescent="0.55000000000000004">
      <c r="C27" s="100"/>
      <c r="D27" s="255" t="s">
        <v>72</v>
      </c>
      <c r="E27" s="263"/>
      <c r="F27" s="102" t="str">
        <f>IF(COUNTIF(O30:O35,"×")&gt;=1,"×","○")</f>
        <v>×</v>
      </c>
      <c r="G27" s="229" t="str">
        <f>IF(F27="○","適切に入力がされました。","【要修正】次の様式が適切に入力されているかご確認ください→"&amp;AJ30&amp;AJ31&amp;AJ32&amp;AJ33&amp;AJ34&amp;AJ35)</f>
        <v>【要修正】次の様式が適切に入力されているかご確認ください→法人・個人事業主の別/事業者名/代表者役職/代表者氏名/所在地/施設所在地/提出日/担当部署/担当者名/電話番号（担当直通）/Mailｱﾄﾞﾚｽ（担当直通）/既交付決定通知番号/【整備内容】/</v>
      </c>
      <c r="H27" s="234"/>
      <c r="I27" s="234"/>
      <c r="J27" s="234"/>
      <c r="K27" s="234"/>
      <c r="L27" s="234"/>
      <c r="M27" s="234"/>
      <c r="N27" s="234"/>
      <c r="O27" s="234"/>
      <c r="P27" s="234"/>
      <c r="Q27" s="234"/>
      <c r="R27" s="234"/>
      <c r="S27" s="234"/>
      <c r="T27" s="234"/>
      <c r="U27" s="234"/>
      <c r="V27" s="234"/>
      <c r="W27" s="234"/>
      <c r="X27" s="234"/>
      <c r="Y27" s="234"/>
      <c r="Z27" s="234"/>
      <c r="AA27" s="234"/>
      <c r="AB27" s="235"/>
    </row>
    <row r="28" spans="2:38" ht="20.149999999999999" customHeight="1" x14ac:dyDescent="0.55000000000000004">
      <c r="C28" s="100"/>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row>
    <row r="29" spans="2:38" ht="40" customHeight="1" x14ac:dyDescent="0.55000000000000004">
      <c r="B29" s="103"/>
      <c r="C29" s="257" t="s">
        <v>85</v>
      </c>
      <c r="D29" s="258"/>
      <c r="E29" s="258"/>
      <c r="F29" s="258"/>
      <c r="G29" s="258"/>
      <c r="H29" s="258"/>
      <c r="I29" s="255" t="s">
        <v>89</v>
      </c>
      <c r="J29" s="256"/>
      <c r="K29" s="256"/>
      <c r="L29" s="256"/>
      <c r="M29" s="256"/>
      <c r="N29" s="244"/>
      <c r="O29" s="104" t="s">
        <v>66</v>
      </c>
      <c r="P29" s="252" t="s">
        <v>71</v>
      </c>
      <c r="Q29" s="253"/>
      <c r="R29" s="253"/>
      <c r="S29" s="253"/>
      <c r="T29" s="253"/>
      <c r="U29" s="253"/>
      <c r="V29" s="253"/>
      <c r="W29" s="253"/>
      <c r="X29" s="253"/>
      <c r="Y29" s="253"/>
      <c r="Z29" s="253"/>
      <c r="AA29" s="253"/>
      <c r="AB29" s="254"/>
      <c r="AC29" s="103"/>
      <c r="AD29" s="103"/>
    </row>
    <row r="30" spans="2:38" ht="40" customHeight="1" x14ac:dyDescent="0.55000000000000004">
      <c r="B30" s="103"/>
      <c r="C30" s="248" t="s">
        <v>86</v>
      </c>
      <c r="D30" s="249"/>
      <c r="E30" s="249"/>
      <c r="F30" s="249"/>
      <c r="G30" s="249"/>
      <c r="H30" s="249"/>
      <c r="I30" s="238" t="s">
        <v>87</v>
      </c>
      <c r="J30" s="239"/>
      <c r="K30" s="239"/>
      <c r="L30" s="239"/>
      <c r="M30" s="239"/>
      <c r="N30" s="241"/>
      <c r="O30" s="79" t="str">
        <f>F23</f>
        <v>×</v>
      </c>
      <c r="P30" s="229" t="str">
        <f>G23</f>
        <v>【要修正】次の項目が適切に入力されているかご確認ください→法人・個人事業主の別/事業者名/代表者役職/代表者氏名/所在地/施設所在地/提出日/事業完了日/担当部署/担当者名/電話番号（担当直通）/Mailｱﾄﾞﾚｽ（担当直通）/既交付決定通知番号/</v>
      </c>
      <c r="Q30" s="230"/>
      <c r="R30" s="230"/>
      <c r="S30" s="230"/>
      <c r="T30" s="230"/>
      <c r="U30" s="230"/>
      <c r="V30" s="230"/>
      <c r="W30" s="230"/>
      <c r="X30" s="230"/>
      <c r="Y30" s="230"/>
      <c r="Z30" s="230"/>
      <c r="AA30" s="230"/>
      <c r="AB30" s="231"/>
      <c r="AC30" s="103"/>
      <c r="AD30" s="103"/>
      <c r="AJ30" s="105" t="str">
        <f>AJ23</f>
        <v>法人・個人事業主の別/事業者名/代表者役職/代表者氏名/所在地/施設所在地/提出日/担当部署/担当者名/電話番号（担当直通）/Mailｱﾄﾞﾚｽ（担当直通）/既交付決定通知番号/</v>
      </c>
    </row>
    <row r="31" spans="2:38" ht="40" customHeight="1" x14ac:dyDescent="0.55000000000000004">
      <c r="B31" s="103"/>
      <c r="C31" s="245" t="str">
        <f xml:space="preserve">
IF(表紙!$V$8="交付申請","振込先情報",
IF(表紙!$V$8="変更申請","　　　　　　　　－",
IF(表紙!$V$8="実績報告","請求書")))</f>
        <v>請求書</v>
      </c>
      <c r="D31" s="246"/>
      <c r="E31" s="246"/>
      <c r="F31" s="246"/>
      <c r="G31" s="246"/>
      <c r="H31" s="247"/>
      <c r="I31" s="238" t="str">
        <f xml:space="preserve">
IF(C31="振込先情報","【必須】",
IF(C31="　　　　　　　　－","－",
IF(C31="請求書","【必須】",
)))</f>
        <v>【必須】</v>
      </c>
      <c r="J31" s="239"/>
      <c r="K31" s="239"/>
      <c r="L31" s="239"/>
      <c r="M31" s="239"/>
      <c r="N31" s="240"/>
      <c r="O31" s="79" t="str">
        <f xml:space="preserve">
IF(C31="　　　　　　　　－","○",
IF(C31="振込先情報",振込先情報!AV22,
IF(C31="請求書",請求書!L33))
)</f>
        <v>×</v>
      </c>
      <c r="P31" s="229" t="str">
        <f xml:space="preserve">
IF(AND(C31="振込先情報",O31="○"),"適切に入力がされました。",
IF(AND(C31="振込先情報",O31="×"),"【要修正】次の項目が適切に入力されているかご確認ください→"&amp;振込先情報!AY25&amp;振込先情報!AY26&amp;振込先情報!AY27&amp;振込先情報!AY29&amp;振込先情報!AY30&amp;振込先情報!AY31&amp;振込先情報!AY32,
IF(AND(C31="請求書",O31="○"),"適切に入力がされました。",
IF(AND(C31="請求書",O31="×"),"【要修正】７桁の口座番号が正しく入力されているか御確認ください。",
IF(C31="　　　　　　　　－",""
)))))</f>
        <v>【要修正】７桁の口座番号が正しく入力されているか御確認ください。</v>
      </c>
      <c r="Q31" s="234"/>
      <c r="R31" s="234"/>
      <c r="S31" s="234"/>
      <c r="T31" s="234"/>
      <c r="U31" s="234"/>
      <c r="V31" s="234"/>
      <c r="W31" s="234"/>
      <c r="X31" s="234"/>
      <c r="Y31" s="234"/>
      <c r="Z31" s="234"/>
      <c r="AA31" s="234"/>
      <c r="AB31" s="235"/>
      <c r="AC31" s="103"/>
      <c r="AD31" s="103"/>
      <c r="AJ31" s="105" t="str">
        <f xml:space="preserve">
IF(表紙!V8="交付申請",振込先情報!AY32,
IF(表紙!V8="変更申請","",
IF(表紙!V8="実績報告","")))</f>
        <v/>
      </c>
    </row>
    <row r="32" spans="2:38" ht="40" customHeight="1" x14ac:dyDescent="0.55000000000000004">
      <c r="B32" s="103"/>
      <c r="C32" s="248" t="str">
        <f xml:space="preserve">
IF(表紙!V8="交付申請","第１号様式（表紙）",
IF(表紙!V8="変更申請","第３号様式（表紙）",
IF(表紙!V8="実績報告","第４号様式（表紙）")))</f>
        <v>第４号様式（表紙）</v>
      </c>
      <c r="D32" s="249"/>
      <c r="E32" s="249"/>
      <c r="F32" s="249"/>
      <c r="G32" s="249"/>
      <c r="H32" s="249"/>
      <c r="I32" s="238" t="s">
        <v>87</v>
      </c>
      <c r="J32" s="239"/>
      <c r="K32" s="239"/>
      <c r="L32" s="239"/>
      <c r="M32" s="239"/>
      <c r="N32" s="241"/>
      <c r="O32" s="79" t="str">
        <f>O30</f>
        <v>×</v>
      </c>
      <c r="P32" s="229" t="str">
        <f>IF(O32="×","【要修正】様式１は入力項目がありませんが、「はじめに入力してください」が適切に入力されていないため正しく表示できていません。","適切に入力がされました。")</f>
        <v>【要修正】様式１は入力項目がありませんが、「はじめに入力してください」が適切に入力されていないため正しく表示できていません。</v>
      </c>
      <c r="Q32" s="230"/>
      <c r="R32" s="230"/>
      <c r="S32" s="230"/>
      <c r="T32" s="230"/>
      <c r="U32" s="230"/>
      <c r="V32" s="230"/>
      <c r="W32" s="230"/>
      <c r="X32" s="230"/>
      <c r="Y32" s="230"/>
      <c r="Z32" s="230"/>
      <c r="AA32" s="230"/>
      <c r="AB32" s="231"/>
      <c r="AC32" s="103"/>
      <c r="AD32" s="103"/>
      <c r="AJ32" s="105"/>
    </row>
    <row r="33" spans="2:36" ht="40" customHeight="1" x14ac:dyDescent="0.55000000000000004">
      <c r="B33" s="103"/>
      <c r="C33" s="236" t="str">
        <f xml:space="preserve">
IF(表紙!V8="交付申請","第２－１号様式（経費所要額調書）",
IF(表紙!V8="変更申請","第２－１号様式（経費所要額調書）",
IF(表紙!V8="実績報告","第４－１号様式（経費精算書）")))</f>
        <v>第４－１号様式（経費精算書）</v>
      </c>
      <c r="D33" s="249"/>
      <c r="E33" s="249"/>
      <c r="F33" s="249"/>
      <c r="G33" s="249"/>
      <c r="H33" s="249"/>
      <c r="I33" s="238" t="s">
        <v>87</v>
      </c>
      <c r="J33" s="239"/>
      <c r="K33" s="239"/>
      <c r="L33" s="239"/>
      <c r="M33" s="239"/>
      <c r="N33" s="241"/>
      <c r="O33" s="79" t="s">
        <v>83</v>
      </c>
      <c r="P33" s="229" t="s">
        <v>90</v>
      </c>
      <c r="Q33" s="230"/>
      <c r="R33" s="230"/>
      <c r="S33" s="230"/>
      <c r="T33" s="230"/>
      <c r="U33" s="230"/>
      <c r="V33" s="230"/>
      <c r="W33" s="230"/>
      <c r="X33" s="230"/>
      <c r="Y33" s="230"/>
      <c r="Z33" s="230"/>
      <c r="AA33" s="230"/>
      <c r="AB33" s="231"/>
      <c r="AC33" s="103"/>
      <c r="AD33" s="103"/>
      <c r="AJ33" s="105" t="str">
        <f>IF(O33="×",C33&amp;"/","")</f>
        <v/>
      </c>
    </row>
    <row r="34" spans="2:36" ht="80.150000000000006" customHeight="1" x14ac:dyDescent="0.55000000000000004">
      <c r="B34" s="103"/>
      <c r="C34" s="236" t="str">
        <f xml:space="preserve">
IF(表紙!V8="交付申請","第２－２号様式（経費支出予定額内訳）",
IF(表紙!V8="変更申請","第２－２号様式（経費支出予定額内訳）",
IF(表紙!V8="実績報告","第４－１号様式（経費実支出額内訳書）")))</f>
        <v>第４－１号様式（経費実支出額内訳書）</v>
      </c>
      <c r="D34" s="249"/>
      <c r="E34" s="249"/>
      <c r="F34" s="249"/>
      <c r="G34" s="249"/>
      <c r="H34" s="249"/>
      <c r="I34" s="238" t="s">
        <v>87</v>
      </c>
      <c r="J34" s="239"/>
      <c r="K34" s="239"/>
      <c r="L34" s="239"/>
      <c r="M34" s="239"/>
      <c r="N34" s="241"/>
      <c r="O34" s="79" t="str">
        <f>実施計画書!CA9</f>
        <v>×</v>
      </c>
      <c r="P34" s="229" t="str">
        <f>IF(O34="×","【要修正】次の項目が適切に入力されているかご確認ください→"&amp;CHAR(10)&amp;実施計画書!CB6,"適切に入力がされました。")</f>
        <v>【要修正】次の項目が適切に入力されているかご確認ください→
【整備内容】/</v>
      </c>
      <c r="Q34" s="230"/>
      <c r="R34" s="230"/>
      <c r="S34" s="230"/>
      <c r="T34" s="230"/>
      <c r="U34" s="230"/>
      <c r="V34" s="230"/>
      <c r="W34" s="230"/>
      <c r="X34" s="230"/>
      <c r="Y34" s="230"/>
      <c r="Z34" s="230"/>
      <c r="AA34" s="230"/>
      <c r="AB34" s="231"/>
      <c r="AC34" s="103"/>
      <c r="AD34" s="103"/>
      <c r="AJ34" s="105" t="str">
        <f>実施計画書!CB6</f>
        <v>【整備内容】/</v>
      </c>
    </row>
    <row r="35" spans="2:36" ht="40" customHeight="1" x14ac:dyDescent="0.55000000000000004">
      <c r="B35" s="103"/>
      <c r="C35" s="236" t="str">
        <f xml:space="preserve">
IF(表紙!V8="交付申請","第２－３号様式（歳入歳出予算書抄本）",
IF(表紙!V8="変更申請","第２－３号様式（歳入歳出予算書抄本）",
IF(表紙!V8="実績報告","第４－３号様式"&amp;CHAR(10)&amp;"（歳入歳出決算書（見込書）抄本）")))</f>
        <v>第４－３号様式
（歳入歳出決算書（見込書）抄本）</v>
      </c>
      <c r="D35" s="237"/>
      <c r="E35" s="237"/>
      <c r="F35" s="237"/>
      <c r="G35" s="237"/>
      <c r="H35" s="237"/>
      <c r="I35" s="242" t="s">
        <v>88</v>
      </c>
      <c r="J35" s="243"/>
      <c r="K35" s="243"/>
      <c r="L35" s="243"/>
      <c r="M35" s="243"/>
      <c r="N35" s="244"/>
      <c r="O35" s="79" t="str">
        <f>予算書抄本!Y11</f>
        <v>○</v>
      </c>
      <c r="P35" s="229" t="str">
        <f>予算書抄本!Z11</f>
        <v>公立機関ではない場合、様式1-3は作成不要です。（入力されていても特段問題はありません。）</v>
      </c>
      <c r="Q35" s="230"/>
      <c r="R35" s="230"/>
      <c r="S35" s="230"/>
      <c r="T35" s="230"/>
      <c r="U35" s="230"/>
      <c r="V35" s="230"/>
      <c r="W35" s="230"/>
      <c r="X35" s="230"/>
      <c r="Y35" s="230"/>
      <c r="Z35" s="230"/>
      <c r="AA35" s="230"/>
      <c r="AB35" s="231"/>
      <c r="AC35" s="103"/>
      <c r="AD35" s="103"/>
      <c r="AJ35" s="105" t="str">
        <f>予算書抄本!AF11</f>
        <v/>
      </c>
    </row>
  </sheetData>
  <sheetProtection algorithmName="SHA-512" hashValue="5hQS7/vNhgfX21Z97hz74/+Iy7WpPE5IngE2n2HQIF9QIW4aUoj+ftt1i/A7NPasVcUYvpSwtGuQg5pjY8oXZA==" saltValue="wg1pw7GzjRQIDwbwz+8ZYw==" spinCount="100000" sheet="1" objects="1" scenarios="1"/>
  <mergeCells count="84">
    <mergeCell ref="O3:O5"/>
    <mergeCell ref="P14:AB14"/>
    <mergeCell ref="P12:AB12"/>
    <mergeCell ref="C19:G19"/>
    <mergeCell ref="C14:G14"/>
    <mergeCell ref="H3:N3"/>
    <mergeCell ref="H5:N5"/>
    <mergeCell ref="H6:N6"/>
    <mergeCell ref="C13:G13"/>
    <mergeCell ref="P13:AB13"/>
    <mergeCell ref="H21:N21"/>
    <mergeCell ref="P21:AB21"/>
    <mergeCell ref="P11:AB11"/>
    <mergeCell ref="C20:G20"/>
    <mergeCell ref="H20:N20"/>
    <mergeCell ref="P19:AB19"/>
    <mergeCell ref="P20:AB20"/>
    <mergeCell ref="H17:N17"/>
    <mergeCell ref="L19:M19"/>
    <mergeCell ref="H19:K19"/>
    <mergeCell ref="C1:AB1"/>
    <mergeCell ref="C25:AB25"/>
    <mergeCell ref="P3:AB5"/>
    <mergeCell ref="P15:AB15"/>
    <mergeCell ref="P16:AB16"/>
    <mergeCell ref="P17:AB17"/>
    <mergeCell ref="P18:AB18"/>
    <mergeCell ref="P10:AB10"/>
    <mergeCell ref="P9:AB9"/>
    <mergeCell ref="P8:AB8"/>
    <mergeCell ref="C17:G17"/>
    <mergeCell ref="C11:G11"/>
    <mergeCell ref="C12:G12"/>
    <mergeCell ref="H16:N16"/>
    <mergeCell ref="C2:G2"/>
    <mergeCell ref="H18:N18"/>
    <mergeCell ref="P2:AB2"/>
    <mergeCell ref="P7:AB7"/>
    <mergeCell ref="P6:AB6"/>
    <mergeCell ref="C15:G15"/>
    <mergeCell ref="C16:G16"/>
    <mergeCell ref="H8:N8"/>
    <mergeCell ref="H9:N9"/>
    <mergeCell ref="H10:N10"/>
    <mergeCell ref="H11:N11"/>
    <mergeCell ref="H14:N14"/>
    <mergeCell ref="H2:N2"/>
    <mergeCell ref="C3:G5"/>
    <mergeCell ref="C6:G6"/>
    <mergeCell ref="C7:G7"/>
    <mergeCell ref="C8:G8"/>
    <mergeCell ref="C9:G9"/>
    <mergeCell ref="AJ3:AJ5"/>
    <mergeCell ref="G23:AB23"/>
    <mergeCell ref="P29:AB29"/>
    <mergeCell ref="P30:AB30"/>
    <mergeCell ref="I29:N29"/>
    <mergeCell ref="I30:N30"/>
    <mergeCell ref="C29:H29"/>
    <mergeCell ref="H15:N15"/>
    <mergeCell ref="H7:N7"/>
    <mergeCell ref="C30:H30"/>
    <mergeCell ref="C18:G18"/>
    <mergeCell ref="C10:G10"/>
    <mergeCell ref="D27:E27"/>
    <mergeCell ref="G27:AB27"/>
    <mergeCell ref="H4:N4"/>
    <mergeCell ref="C21:G21"/>
    <mergeCell ref="P35:AB35"/>
    <mergeCell ref="D23:E23"/>
    <mergeCell ref="P31:AB31"/>
    <mergeCell ref="P32:AB32"/>
    <mergeCell ref="P33:AB33"/>
    <mergeCell ref="C35:H35"/>
    <mergeCell ref="P34:AB34"/>
    <mergeCell ref="I31:N31"/>
    <mergeCell ref="I32:N32"/>
    <mergeCell ref="I33:N33"/>
    <mergeCell ref="I34:N34"/>
    <mergeCell ref="I35:N35"/>
    <mergeCell ref="C31:H31"/>
    <mergeCell ref="C32:H32"/>
    <mergeCell ref="C33:H33"/>
    <mergeCell ref="C34:H34"/>
  </mergeCells>
  <phoneticPr fontId="1"/>
  <conditionalFormatting sqref="O3:O12 O14:O22">
    <cfRule type="containsText" dxfId="56" priority="16" operator="containsText" text="×">
      <formula>NOT(ISERROR(SEARCH("×",O3)))</formula>
    </cfRule>
    <cfRule type="containsText" dxfId="55" priority="18" operator="containsText" text="×">
      <formula>NOT(ISERROR(SEARCH("×",O3)))</formula>
    </cfRule>
  </conditionalFormatting>
  <conditionalFormatting sqref="P14 P3:W12 P15:W18 P22:W22 P19:P21">
    <cfRule type="containsText" dxfId="54" priority="17" operator="containsText" text="要修正">
      <formula>NOT(ISERROR(SEARCH("要修正",P3)))</formula>
    </cfRule>
  </conditionalFormatting>
  <conditionalFormatting sqref="F23 O30 O32:O35">
    <cfRule type="containsText" dxfId="53" priority="15" operator="containsText" text="×">
      <formula>NOT(ISERROR(SEARCH("×",F23)))</formula>
    </cfRule>
  </conditionalFormatting>
  <conditionalFormatting sqref="G23:AB23">
    <cfRule type="containsText" dxfId="52" priority="14" operator="containsText" text="要修正">
      <formula>NOT(ISERROR(SEARCH("要修正",G23)))</formula>
    </cfRule>
  </conditionalFormatting>
  <conditionalFormatting sqref="P30:AB30 P32:AB35">
    <cfRule type="containsText" dxfId="51" priority="11" operator="containsText" text="要修正">
      <formula>NOT(ISERROR(SEARCH("要修正",P30)))</formula>
    </cfRule>
    <cfRule type="cellIs" dxfId="50" priority="12" operator="equal">
      <formula>"要修正"</formula>
    </cfRule>
  </conditionalFormatting>
  <conditionalFormatting sqref="F27">
    <cfRule type="containsText" dxfId="49" priority="8" operator="containsText" text="×">
      <formula>NOT(ISERROR(SEARCH("×",F27)))</formula>
    </cfRule>
  </conditionalFormatting>
  <conditionalFormatting sqref="G27:AB27">
    <cfRule type="containsText" dxfId="48" priority="7" operator="containsText" text="要修正">
      <formula>NOT(ISERROR(SEARCH("要修正",G27)))</formula>
    </cfRule>
  </conditionalFormatting>
  <conditionalFormatting sqref="O13">
    <cfRule type="containsText" dxfId="47" priority="4" operator="containsText" text="×">
      <formula>NOT(ISERROR(SEARCH("×",O13)))</formula>
    </cfRule>
    <cfRule type="containsText" dxfId="46" priority="6" operator="containsText" text="×">
      <formula>NOT(ISERROR(SEARCH("×",O13)))</formula>
    </cfRule>
  </conditionalFormatting>
  <conditionalFormatting sqref="P13:W13">
    <cfRule type="containsText" dxfId="45" priority="5" operator="containsText" text="要修正">
      <formula>NOT(ISERROR(SEARCH("要修正",P13)))</formula>
    </cfRule>
  </conditionalFormatting>
  <conditionalFormatting sqref="O31">
    <cfRule type="containsText" dxfId="44" priority="3" operator="containsText" text="×">
      <formula>NOT(ISERROR(SEARCH("×",O31)))</formula>
    </cfRule>
  </conditionalFormatting>
  <conditionalFormatting sqref="P31:AB31">
    <cfRule type="containsText" dxfId="43" priority="1" operator="containsText" text="要修正">
      <formula>NOT(ISERROR(SEARCH("要修正",P31)))</formula>
    </cfRule>
    <cfRule type="cellIs" dxfId="42" priority="2" operator="equal">
      <formula>"要修正"</formula>
    </cfRule>
  </conditionalFormatting>
  <dataValidations count="1">
    <dataValidation type="list" allowBlank="1" showInputMessage="1" showErrorMessage="1" sqref="H21:N21" xr:uid="{00000000-0002-0000-0100-000000000000}">
      <formula1>$AL$17:$AL$18</formula1>
    </dataValidation>
  </dataValidations>
  <pageMargins left="0.7" right="0.7" top="0.75" bottom="0.75" header="0.3" footer="0.3"/>
  <pageSetup paperSize="9" scale="4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7</xdr:col>
                    <xdr:colOff>88900</xdr:colOff>
                    <xdr:row>2</xdr:row>
                    <xdr:rowOff>57150</xdr:rowOff>
                  </from>
                  <to>
                    <xdr:col>7</xdr:col>
                    <xdr:colOff>336550</xdr:colOff>
                    <xdr:row>2</xdr:row>
                    <xdr:rowOff>279400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7</xdr:col>
                    <xdr:colOff>88900</xdr:colOff>
                    <xdr:row>3</xdr:row>
                    <xdr:rowOff>76200</xdr:rowOff>
                  </from>
                  <to>
                    <xdr:col>7</xdr:col>
                    <xdr:colOff>336550</xdr:colOff>
                    <xdr:row>3</xdr:row>
                    <xdr:rowOff>298450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7</xdr:col>
                    <xdr:colOff>88900</xdr:colOff>
                    <xdr:row>4</xdr:row>
                    <xdr:rowOff>69850</xdr:rowOff>
                  </from>
                  <to>
                    <xdr:col>7</xdr:col>
                    <xdr:colOff>431800</xdr:colOff>
                    <xdr:row>4</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リスト!$A$2:$A$345</xm:f>
          </x14:formula1>
          <xm:sqref>L19:M19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56"/>
  <sheetViews>
    <sheetView showGridLines="0" view="pageBreakPreview" topLeftCell="A10" zoomScale="80" zoomScaleNormal="100" zoomScaleSheetLayoutView="80" workbookViewId="0">
      <selection activeCell="AY23" sqref="AY23"/>
    </sheetView>
  </sheetViews>
  <sheetFormatPr defaultColWidth="9" defaultRowHeight="18" x14ac:dyDescent="0.55000000000000004"/>
  <cols>
    <col min="1" max="36" width="3.58203125" style="76" customWidth="1"/>
    <col min="37" max="47" width="9" style="76"/>
    <col min="48" max="48" width="9.33203125" style="76" bestFit="1" customWidth="1"/>
    <col min="49" max="49" width="75.58203125" style="76" customWidth="1"/>
    <col min="50" max="16384" width="9" style="76"/>
  </cols>
  <sheetData>
    <row r="1" spans="1:49" x14ac:dyDescent="0.55000000000000004">
      <c r="A1" s="76">
        <v>1</v>
      </c>
      <c r="B1" s="76">
        <v>2</v>
      </c>
      <c r="C1" s="76">
        <v>3</v>
      </c>
      <c r="D1" s="76">
        <v>4</v>
      </c>
      <c r="E1" s="76">
        <v>5</v>
      </c>
      <c r="F1" s="76">
        <v>6</v>
      </c>
      <c r="G1" s="76">
        <v>7</v>
      </c>
      <c r="H1" s="76">
        <v>8</v>
      </c>
      <c r="I1" s="76">
        <v>9</v>
      </c>
      <c r="J1" s="76">
        <v>10</v>
      </c>
      <c r="K1" s="76">
        <v>11</v>
      </c>
      <c r="L1" s="76">
        <v>12</v>
      </c>
      <c r="M1" s="76">
        <v>13</v>
      </c>
      <c r="N1" s="76">
        <v>14</v>
      </c>
      <c r="O1" s="76">
        <v>15</v>
      </c>
      <c r="P1" s="76">
        <v>16</v>
      </c>
      <c r="Q1" s="76">
        <v>17</v>
      </c>
      <c r="R1" s="76">
        <v>18</v>
      </c>
      <c r="S1" s="76">
        <v>19</v>
      </c>
      <c r="T1" s="76">
        <v>20</v>
      </c>
      <c r="U1" s="76">
        <v>21</v>
      </c>
      <c r="V1" s="76">
        <v>22</v>
      </c>
      <c r="W1" s="76">
        <v>23</v>
      </c>
      <c r="X1" s="76">
        <v>24</v>
      </c>
      <c r="Y1" s="76">
        <v>25</v>
      </c>
      <c r="Z1" s="76">
        <v>26</v>
      </c>
      <c r="AA1" s="76">
        <v>27</v>
      </c>
      <c r="AB1" s="76">
        <v>28</v>
      </c>
      <c r="AC1" s="76">
        <v>29</v>
      </c>
      <c r="AD1" s="76">
        <v>30</v>
      </c>
      <c r="AE1" s="76">
        <v>31</v>
      </c>
      <c r="AF1" s="76">
        <v>32</v>
      </c>
      <c r="AG1" s="76">
        <v>33</v>
      </c>
      <c r="AH1" s="76">
        <v>34</v>
      </c>
      <c r="AI1" s="76">
        <v>35</v>
      </c>
      <c r="AJ1" s="76">
        <v>36</v>
      </c>
    </row>
    <row r="2" spans="1:49" s="110" customFormat="1" ht="22.5" x14ac:dyDescent="0.6">
      <c r="A2" s="24"/>
      <c r="B2" s="25"/>
      <c r="C2" s="26"/>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V2" s="111"/>
      <c r="AW2" s="112"/>
    </row>
    <row r="3" spans="1:49" s="110" customFormat="1" ht="20" x14ac:dyDescent="0.6">
      <c r="A3" s="325" t="s">
        <v>223</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V3" s="111"/>
      <c r="AW3" s="112"/>
    </row>
    <row r="4" spans="1:49" s="110" customFormat="1" ht="20" x14ac:dyDescent="0.6">
      <c r="A4" s="325"/>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V4" s="111"/>
      <c r="AW4" s="112"/>
    </row>
    <row r="5" spans="1:49" s="110" customFormat="1" ht="20" x14ac:dyDescent="0.6">
      <c r="A5" s="326"/>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V5" s="111"/>
      <c r="AW5" s="112"/>
    </row>
    <row r="6" spans="1:49" s="110" customFormat="1" ht="20" x14ac:dyDescent="0.6">
      <c r="AV6" s="111"/>
      <c r="AW6" s="112"/>
    </row>
    <row r="7" spans="1:49" s="110" customFormat="1" ht="20" x14ac:dyDescent="0.6">
      <c r="N7" s="324" t="str">
        <f>表紙!I9</f>
        <v>補助事業者名</v>
      </c>
      <c r="O7" s="324"/>
      <c r="P7" s="324"/>
      <c r="Q7" s="324"/>
      <c r="R7" s="324"/>
      <c r="S7" s="327" t="str">
        <f>表紙!L9</f>
        <v/>
      </c>
      <c r="T7" s="327"/>
      <c r="U7" s="327"/>
      <c r="V7" s="327"/>
      <c r="W7" s="327"/>
      <c r="X7" s="327"/>
      <c r="Y7" s="327"/>
      <c r="Z7" s="327"/>
      <c r="AA7" s="327"/>
      <c r="AB7" s="327"/>
      <c r="AC7" s="327"/>
      <c r="AD7" s="327"/>
      <c r="AE7" s="327"/>
      <c r="AF7" s="327"/>
      <c r="AG7" s="327"/>
      <c r="AH7" s="327"/>
      <c r="AI7" s="327"/>
      <c r="AJ7" s="327"/>
      <c r="AV7" s="111"/>
      <c r="AW7" s="112"/>
    </row>
    <row r="8" spans="1:49" s="110" customFormat="1" ht="20" x14ac:dyDescent="0.6">
      <c r="N8" s="324"/>
      <c r="O8" s="324"/>
      <c r="P8" s="324"/>
      <c r="Q8" s="324"/>
      <c r="R8" s="324"/>
      <c r="S8" s="327"/>
      <c r="T8" s="327"/>
      <c r="U8" s="327"/>
      <c r="V8" s="327"/>
      <c r="W8" s="327"/>
      <c r="X8" s="327"/>
      <c r="Y8" s="327"/>
      <c r="Z8" s="327"/>
      <c r="AA8" s="327"/>
      <c r="AB8" s="327"/>
      <c r="AC8" s="327"/>
      <c r="AD8" s="327"/>
      <c r="AE8" s="327"/>
      <c r="AF8" s="327"/>
      <c r="AG8" s="327"/>
      <c r="AH8" s="327"/>
      <c r="AI8" s="327"/>
      <c r="AJ8" s="327"/>
      <c r="AV8" s="111"/>
      <c r="AW8" s="112"/>
    </row>
    <row r="9" spans="1:49" s="110" customFormat="1" ht="20" x14ac:dyDescent="0.6">
      <c r="N9" s="324" t="str">
        <f>表紙!I8</f>
        <v>所　  在 　 地</v>
      </c>
      <c r="O9" s="324"/>
      <c r="P9" s="324"/>
      <c r="Q9" s="324"/>
      <c r="R9" s="324"/>
      <c r="S9" s="327" t="str">
        <f>表紙!L8</f>
        <v/>
      </c>
      <c r="T9" s="327"/>
      <c r="U9" s="327"/>
      <c r="V9" s="327"/>
      <c r="W9" s="327"/>
      <c r="X9" s="327"/>
      <c r="Y9" s="327"/>
      <c r="Z9" s="327"/>
      <c r="AA9" s="327"/>
      <c r="AB9" s="327"/>
      <c r="AC9" s="327"/>
      <c r="AD9" s="327"/>
      <c r="AE9" s="327"/>
      <c r="AF9" s="327"/>
      <c r="AG9" s="327"/>
      <c r="AH9" s="327"/>
      <c r="AI9" s="327"/>
      <c r="AJ9" s="327"/>
      <c r="AV9" s="111"/>
      <c r="AW9" s="112"/>
    </row>
    <row r="10" spans="1:49" s="110" customFormat="1" ht="20" x14ac:dyDescent="0.6">
      <c r="N10" s="324"/>
      <c r="O10" s="324"/>
      <c r="P10" s="324"/>
      <c r="Q10" s="324"/>
      <c r="R10" s="324"/>
      <c r="S10" s="327"/>
      <c r="T10" s="327"/>
      <c r="U10" s="327"/>
      <c r="V10" s="327"/>
      <c r="W10" s="327"/>
      <c r="X10" s="327"/>
      <c r="Y10" s="327"/>
      <c r="Z10" s="327"/>
      <c r="AA10" s="327"/>
      <c r="AB10" s="327"/>
      <c r="AC10" s="327"/>
      <c r="AD10" s="327"/>
      <c r="AE10" s="327"/>
      <c r="AF10" s="327"/>
      <c r="AG10" s="327"/>
      <c r="AH10" s="327"/>
      <c r="AI10" s="327"/>
      <c r="AJ10" s="327"/>
      <c r="AV10" s="111"/>
      <c r="AW10" s="112"/>
    </row>
    <row r="11" spans="1:49" s="110" customFormat="1" ht="20" x14ac:dyDescent="0.6">
      <c r="N11" s="324" t="str">
        <f>表紙!I10</f>
        <v>代表者職氏名</v>
      </c>
      <c r="O11" s="324"/>
      <c r="P11" s="324"/>
      <c r="Q11" s="324"/>
      <c r="R11" s="324"/>
      <c r="S11" s="337" t="str">
        <f>表紙!L10</f>
        <v>　</v>
      </c>
      <c r="T11" s="338"/>
      <c r="U11" s="338"/>
      <c r="V11" s="338"/>
      <c r="W11" s="338"/>
      <c r="X11" s="339"/>
      <c r="Y11" s="339"/>
      <c r="Z11" s="339"/>
      <c r="AA11" s="339"/>
      <c r="AB11" s="339"/>
      <c r="AC11" s="339"/>
      <c r="AD11" s="339"/>
      <c r="AE11" s="339"/>
      <c r="AF11" s="339"/>
      <c r="AG11" s="339"/>
      <c r="AH11" s="339"/>
      <c r="AI11" s="339"/>
      <c r="AJ11" s="340"/>
      <c r="AV11" s="111"/>
      <c r="AW11" s="112"/>
    </row>
    <row r="12" spans="1:49" s="110" customFormat="1" ht="20" x14ac:dyDescent="0.6">
      <c r="N12" s="324"/>
      <c r="O12" s="324"/>
      <c r="P12" s="324"/>
      <c r="Q12" s="324"/>
      <c r="R12" s="324"/>
      <c r="S12" s="341"/>
      <c r="T12" s="342"/>
      <c r="U12" s="342"/>
      <c r="V12" s="342"/>
      <c r="W12" s="342"/>
      <c r="X12" s="343"/>
      <c r="Y12" s="343"/>
      <c r="Z12" s="343"/>
      <c r="AA12" s="343"/>
      <c r="AB12" s="343"/>
      <c r="AC12" s="343"/>
      <c r="AD12" s="343"/>
      <c r="AE12" s="343"/>
      <c r="AF12" s="343"/>
      <c r="AG12" s="343"/>
      <c r="AH12" s="343"/>
      <c r="AI12" s="343"/>
      <c r="AJ12" s="344"/>
      <c r="AV12" s="111"/>
      <c r="AW12" s="112"/>
    </row>
    <row r="13" spans="1:49" s="110" customFormat="1" ht="20" x14ac:dyDescent="0.6">
      <c r="N13" s="324" t="s">
        <v>49</v>
      </c>
      <c r="O13" s="324"/>
      <c r="P13" s="324"/>
      <c r="Q13" s="324"/>
      <c r="R13" s="324"/>
      <c r="S13" s="354" t="s">
        <v>48</v>
      </c>
      <c r="T13" s="354"/>
      <c r="U13" s="354"/>
      <c r="V13" s="354"/>
      <c r="W13" s="355" t="str">
        <f>表紙!L40</f>
        <v/>
      </c>
      <c r="X13" s="355"/>
      <c r="Y13" s="355"/>
      <c r="Z13" s="355"/>
      <c r="AA13" s="355"/>
      <c r="AB13" s="355"/>
      <c r="AC13" s="355"/>
      <c r="AD13" s="355"/>
      <c r="AE13" s="355"/>
      <c r="AF13" s="355"/>
      <c r="AG13" s="355"/>
      <c r="AH13" s="355"/>
      <c r="AI13" s="355"/>
      <c r="AJ13" s="355"/>
      <c r="AV13" s="111"/>
      <c r="AW13" s="112"/>
    </row>
    <row r="14" spans="1:49" s="110" customFormat="1" ht="20" x14ac:dyDescent="0.6">
      <c r="N14" s="324"/>
      <c r="O14" s="324"/>
      <c r="P14" s="324"/>
      <c r="Q14" s="324"/>
      <c r="R14" s="324"/>
      <c r="S14" s="354"/>
      <c r="T14" s="354"/>
      <c r="U14" s="354"/>
      <c r="V14" s="354"/>
      <c r="W14" s="355"/>
      <c r="X14" s="355"/>
      <c r="Y14" s="355"/>
      <c r="Z14" s="355"/>
      <c r="AA14" s="355"/>
      <c r="AB14" s="355"/>
      <c r="AC14" s="355"/>
      <c r="AD14" s="355"/>
      <c r="AE14" s="355"/>
      <c r="AF14" s="355"/>
      <c r="AG14" s="355"/>
      <c r="AH14" s="355"/>
      <c r="AI14" s="355"/>
      <c r="AJ14" s="355"/>
      <c r="AV14" s="111"/>
      <c r="AW14" s="112"/>
    </row>
    <row r="15" spans="1:49" s="110" customFormat="1" ht="20" x14ac:dyDescent="0.6">
      <c r="N15" s="324"/>
      <c r="O15" s="324"/>
      <c r="P15" s="324"/>
      <c r="Q15" s="324"/>
      <c r="R15" s="324"/>
      <c r="S15" s="354" t="s">
        <v>50</v>
      </c>
      <c r="T15" s="354"/>
      <c r="U15" s="354"/>
      <c r="V15" s="354"/>
      <c r="W15" s="355" t="str">
        <f>表紙!L41</f>
        <v/>
      </c>
      <c r="X15" s="355"/>
      <c r="Y15" s="355"/>
      <c r="Z15" s="355"/>
      <c r="AA15" s="355"/>
      <c r="AB15" s="355"/>
      <c r="AC15" s="355"/>
      <c r="AD15" s="355"/>
      <c r="AE15" s="355"/>
      <c r="AF15" s="355"/>
      <c r="AG15" s="355"/>
      <c r="AH15" s="355"/>
      <c r="AI15" s="355"/>
      <c r="AJ15" s="355"/>
      <c r="AV15" s="111"/>
      <c r="AW15" s="112"/>
    </row>
    <row r="16" spans="1:49" s="110" customFormat="1" ht="20" x14ac:dyDescent="0.6">
      <c r="N16" s="324"/>
      <c r="O16" s="324"/>
      <c r="P16" s="324"/>
      <c r="Q16" s="324"/>
      <c r="R16" s="324"/>
      <c r="S16" s="354"/>
      <c r="T16" s="354"/>
      <c r="U16" s="354"/>
      <c r="V16" s="354"/>
      <c r="W16" s="355"/>
      <c r="X16" s="355"/>
      <c r="Y16" s="355"/>
      <c r="Z16" s="355"/>
      <c r="AA16" s="355"/>
      <c r="AB16" s="355"/>
      <c r="AC16" s="355"/>
      <c r="AD16" s="355"/>
      <c r="AE16" s="355"/>
      <c r="AF16" s="355"/>
      <c r="AG16" s="355"/>
      <c r="AH16" s="355"/>
      <c r="AI16" s="355"/>
      <c r="AJ16" s="355"/>
      <c r="AV16" s="111"/>
      <c r="AW16" s="112"/>
    </row>
    <row r="17" spans="1:52" s="110" customFormat="1" ht="20" x14ac:dyDescent="0.6">
      <c r="N17" s="324"/>
      <c r="O17" s="324"/>
      <c r="P17" s="324"/>
      <c r="Q17" s="324"/>
      <c r="R17" s="324"/>
      <c r="S17" s="354" t="s">
        <v>51</v>
      </c>
      <c r="T17" s="354"/>
      <c r="U17" s="354"/>
      <c r="V17" s="354"/>
      <c r="W17" s="356" t="str">
        <f>表紙!L42</f>
        <v/>
      </c>
      <c r="X17" s="355"/>
      <c r="Y17" s="355"/>
      <c r="Z17" s="355"/>
      <c r="AA17" s="355"/>
      <c r="AB17" s="355"/>
      <c r="AC17" s="355"/>
      <c r="AD17" s="355"/>
      <c r="AE17" s="355"/>
      <c r="AF17" s="355"/>
      <c r="AG17" s="355"/>
      <c r="AH17" s="355"/>
      <c r="AI17" s="355"/>
      <c r="AJ17" s="355"/>
      <c r="AV17" s="111"/>
      <c r="AW17" s="112"/>
    </row>
    <row r="18" spans="1:52" s="110" customFormat="1" ht="20" x14ac:dyDescent="0.6">
      <c r="N18" s="324"/>
      <c r="O18" s="324"/>
      <c r="P18" s="324"/>
      <c r="Q18" s="324"/>
      <c r="R18" s="324"/>
      <c r="S18" s="354"/>
      <c r="T18" s="354"/>
      <c r="U18" s="354"/>
      <c r="V18" s="354"/>
      <c r="W18" s="355"/>
      <c r="X18" s="355"/>
      <c r="Y18" s="355"/>
      <c r="Z18" s="355"/>
      <c r="AA18" s="355"/>
      <c r="AB18" s="355"/>
      <c r="AC18" s="355"/>
      <c r="AD18" s="355"/>
      <c r="AE18" s="355"/>
      <c r="AF18" s="355"/>
      <c r="AG18" s="355"/>
      <c r="AH18" s="355"/>
      <c r="AI18" s="355"/>
      <c r="AJ18" s="355"/>
      <c r="AV18" s="111"/>
      <c r="AW18" s="112"/>
    </row>
    <row r="19" spans="1:52" s="110" customFormat="1" ht="20" x14ac:dyDescent="0.6">
      <c r="AV19" s="111"/>
      <c r="AW19" s="112"/>
    </row>
    <row r="20" spans="1:52" s="110" customFormat="1" ht="22.5" x14ac:dyDescent="0.65">
      <c r="A20" s="359" t="str">
        <f>"　標記の補助金交付申請（申請額："&amp;TEXT(表紙!G20,"###,0")&amp;"円）に係る振込先口座情報及び当該口座の通帳写しについては"</f>
        <v>　標記の補助金交付申請（申請額：金　　　　　　　　　円円）に係る振込先口座情報及び当該口座の通帳写しについては</v>
      </c>
      <c r="B20" s="360"/>
      <c r="C20" s="360"/>
      <c r="D20" s="360"/>
      <c r="E20" s="360"/>
      <c r="F20" s="360"/>
      <c r="G20" s="360"/>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V20" s="111"/>
      <c r="AW20" s="112"/>
    </row>
    <row r="21" spans="1:52" s="110" customFormat="1" ht="22.5" x14ac:dyDescent="0.65">
      <c r="A21" s="28" t="s">
        <v>61</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V21" s="111"/>
      <c r="AW21" s="112"/>
    </row>
    <row r="22" spans="1:52" s="110" customFormat="1" ht="20" x14ac:dyDescent="0.6">
      <c r="AV22" s="113" t="str">
        <f>IF(COUNTIF(AV23:AV31,"○")=8,"○","×")</f>
        <v>×</v>
      </c>
      <c r="AW22" s="322" t="str">
        <f>IF(COUNTIF(AV23:AV31,"×")&gt;=1,"【総合判定】入力が不十分な箇所があります。以下の赤着色の箇所を御確認ください。","【総合判定】全ての情報が正しく入力されました。")</f>
        <v>【総合判定】入力が不十分な箇所があります。以下の赤着色の箇所を御確認ください。</v>
      </c>
      <c r="AX22" s="323"/>
    </row>
    <row r="23" spans="1:52" s="110" customFormat="1" ht="22.5" x14ac:dyDescent="0.6">
      <c r="A23" s="362" t="s">
        <v>64</v>
      </c>
      <c r="B23" s="345" t="s">
        <v>52</v>
      </c>
      <c r="C23" s="346"/>
      <c r="D23" s="346"/>
      <c r="E23" s="346"/>
      <c r="F23" s="347"/>
      <c r="G23" s="29"/>
      <c r="H23" s="30"/>
      <c r="I23" s="30"/>
      <c r="J23" s="31"/>
      <c r="K23" s="348" t="s">
        <v>69</v>
      </c>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V23" s="114" t="str">
        <f>IF(COUNTA(G23:J23)=4,"○","×")</f>
        <v>×</v>
      </c>
      <c r="AW23" s="322" t="str">
        <f>IF(AV23="×","【金融機関コード】４桁の番号が未入力又は正しく入力されていません。","４桁の金融機関コードが正しく入力されました。")</f>
        <v>【金融機関コード】４桁の番号が未入力又は正しく入力されていません。</v>
      </c>
      <c r="AX23" s="323"/>
      <c r="AY23" s="110" t="str">
        <f>IF(AV23="×","４桁の金融機関コードが未入力又は正しく入力されていません。/","")</f>
        <v>４桁の金融機関コードが未入力又は正しく入力されていません。/</v>
      </c>
    </row>
    <row r="24" spans="1:52" s="110" customFormat="1" ht="22.5" x14ac:dyDescent="0.6">
      <c r="A24" s="363"/>
      <c r="B24" s="349" t="s">
        <v>53</v>
      </c>
      <c r="C24" s="350"/>
      <c r="D24" s="350"/>
      <c r="E24" s="350"/>
      <c r="F24" s="350"/>
      <c r="G24" s="29"/>
      <c r="H24" s="30"/>
      <c r="I24" s="31"/>
      <c r="J24" s="115"/>
      <c r="K24" s="321" t="s">
        <v>70</v>
      </c>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V24" s="114" t="str">
        <f>IF(COUNTA(G24:I24)=3,"○","×")</f>
        <v>×</v>
      </c>
      <c r="AW24" s="322" t="str">
        <f>IF(AV24="×","【支店番号】３桁の番号が未入力又は正しく入力されていません。","３桁の支店番号が正しく入力されました。")</f>
        <v>【支店番号】３桁の番号が未入力又は正しく入力されていません。</v>
      </c>
      <c r="AX24" s="323"/>
      <c r="AY24" s="110" t="str">
        <f>IF(AV24="×","３桁の支店番号が未入力又は正しく入力されていません。/","")</f>
        <v>３桁の支店番号が未入力又は正しく入力されていません。/</v>
      </c>
    </row>
    <row r="25" spans="1:52" s="110" customFormat="1" ht="22.5" x14ac:dyDescent="0.6">
      <c r="A25" s="363"/>
      <c r="B25" s="351" t="s">
        <v>54</v>
      </c>
      <c r="C25" s="352"/>
      <c r="D25" s="352"/>
      <c r="E25" s="352"/>
      <c r="F25" s="353"/>
      <c r="G25" s="318"/>
      <c r="H25" s="319"/>
      <c r="I25" s="319"/>
      <c r="J25" s="319"/>
      <c r="K25" s="319"/>
      <c r="L25" s="319"/>
      <c r="M25" s="320"/>
      <c r="N25" s="316" t="s">
        <v>68</v>
      </c>
      <c r="O25" s="317"/>
      <c r="P25" s="317"/>
      <c r="Q25" s="317"/>
      <c r="R25" s="317"/>
      <c r="S25" s="317"/>
      <c r="T25" s="317"/>
      <c r="U25" s="317"/>
      <c r="V25" s="317"/>
      <c r="W25" s="317"/>
      <c r="X25" s="317"/>
      <c r="Y25" s="317"/>
      <c r="Z25" s="317"/>
      <c r="AA25" s="317"/>
      <c r="AB25" s="317"/>
      <c r="AC25" s="317"/>
      <c r="AD25" s="317"/>
      <c r="AE25" s="317"/>
      <c r="AF25" s="317"/>
      <c r="AG25" s="317"/>
      <c r="AH25" s="317"/>
      <c r="AI25" s="317"/>
      <c r="AJ25" s="317"/>
      <c r="AV25" s="114" t="str">
        <f>IF(COUNTA(G25)=1,"○","×")</f>
        <v>×</v>
      </c>
      <c r="AW25" s="322" t="str">
        <f>IF(AV25="×","【金融機関名】名称が未入力です","金融機関の名称が正しく入力されました。")</f>
        <v>【金融機関名】名称が未入力です</v>
      </c>
      <c r="AX25" s="323"/>
      <c r="AY25" s="110" t="str">
        <f>IF(AV25="×","金融機関名が未入力です。/","")</f>
        <v>金融機関名が未入力です。/</v>
      </c>
    </row>
    <row r="26" spans="1:52" s="110" customFormat="1" ht="22.5" x14ac:dyDescent="0.6">
      <c r="A26" s="363"/>
      <c r="B26" s="351" t="s">
        <v>55</v>
      </c>
      <c r="C26" s="352"/>
      <c r="D26" s="352"/>
      <c r="E26" s="352"/>
      <c r="F26" s="353"/>
      <c r="G26" s="366"/>
      <c r="H26" s="367"/>
      <c r="I26" s="367"/>
      <c r="J26" s="367"/>
      <c r="K26" s="367"/>
      <c r="L26" s="367"/>
      <c r="M26" s="368"/>
      <c r="N26" s="348" t="s">
        <v>67</v>
      </c>
      <c r="O26" s="321"/>
      <c r="P26" s="321"/>
      <c r="Q26" s="321"/>
      <c r="R26" s="321"/>
      <c r="S26" s="321"/>
      <c r="T26" s="321"/>
      <c r="U26" s="321"/>
      <c r="V26" s="321"/>
      <c r="W26" s="321"/>
      <c r="X26" s="321"/>
      <c r="Y26" s="321"/>
      <c r="Z26" s="321"/>
      <c r="AA26" s="321"/>
      <c r="AB26" s="321"/>
      <c r="AC26" s="321"/>
      <c r="AD26" s="321"/>
      <c r="AE26" s="321"/>
      <c r="AF26" s="321"/>
      <c r="AG26" s="321"/>
      <c r="AH26" s="321"/>
      <c r="AI26" s="321"/>
      <c r="AJ26" s="321"/>
      <c r="AV26" s="114" t="str">
        <f>IF(COUNTA(G26)=1,"○","×")</f>
        <v>×</v>
      </c>
      <c r="AW26" s="322" t="str">
        <f>IF(AV26="×","【支店名】金融機関の支店名称が未入力です","金融機関の支店名称が正しく入力されました。")</f>
        <v>【支店名】金融機関の支店名称が未入力です</v>
      </c>
      <c r="AX26" s="323"/>
      <c r="AY26" s="110" t="str">
        <f>IF(AV26="×","金融機関の支店名称が未入力です。/","")</f>
        <v>金融機関の支店名称が未入力です。/</v>
      </c>
    </row>
    <row r="27" spans="1:52" s="110" customFormat="1" ht="22.5" hidden="1" x14ac:dyDescent="0.55000000000000004">
      <c r="A27" s="363"/>
      <c r="B27" s="369"/>
      <c r="C27" s="321"/>
      <c r="D27" s="321"/>
      <c r="E27" s="321"/>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V27" s="114"/>
      <c r="AW27" s="116"/>
      <c r="AX27" s="117"/>
    </row>
    <row r="28" spans="1:52" s="110" customFormat="1" ht="22.5" x14ac:dyDescent="0.6">
      <c r="A28" s="363"/>
      <c r="B28" s="351" t="s">
        <v>56</v>
      </c>
      <c r="C28" s="352"/>
      <c r="D28" s="352"/>
      <c r="E28" s="352"/>
      <c r="F28" s="352"/>
      <c r="G28" s="370"/>
      <c r="H28" s="371"/>
      <c r="I28" s="372" t="s">
        <v>57</v>
      </c>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V28" s="114" t="str">
        <f>IF(COUNTA(G28)=1,"○","×")</f>
        <v>×</v>
      </c>
      <c r="AW28" s="322" t="str">
        <f>IF(AV28="×","【預金種別】預金種別の番号が未入力です","預金種別の番号が正しく入力されました。")</f>
        <v>【預金種別】預金種別の番号が未入力です</v>
      </c>
      <c r="AX28" s="323"/>
      <c r="AY28" s="110" t="str">
        <f>IF(AV28="×","預金種別の番号が未入力です。/","")</f>
        <v>預金種別の番号が未入力です。/</v>
      </c>
    </row>
    <row r="29" spans="1:52" s="110" customFormat="1" ht="22.5" x14ac:dyDescent="0.6">
      <c r="A29" s="363"/>
      <c r="B29" s="351" t="s">
        <v>58</v>
      </c>
      <c r="C29" s="352"/>
      <c r="D29" s="352"/>
      <c r="E29" s="352"/>
      <c r="F29" s="352"/>
      <c r="G29" s="32"/>
      <c r="H29" s="33"/>
      <c r="I29" s="33"/>
      <c r="J29" s="33"/>
      <c r="K29" s="33"/>
      <c r="L29" s="33"/>
      <c r="M29" s="34"/>
      <c r="N29" s="373" t="s">
        <v>65</v>
      </c>
      <c r="O29" s="374"/>
      <c r="P29" s="374"/>
      <c r="Q29" s="374"/>
      <c r="R29" s="374"/>
      <c r="S29" s="374"/>
      <c r="T29" s="374"/>
      <c r="U29" s="374"/>
      <c r="V29" s="374"/>
      <c r="W29" s="374"/>
      <c r="X29" s="374"/>
      <c r="Y29" s="374"/>
      <c r="Z29" s="374"/>
      <c r="AA29" s="374"/>
      <c r="AB29" s="374"/>
      <c r="AC29" s="374"/>
      <c r="AD29" s="374"/>
      <c r="AE29" s="374"/>
      <c r="AF29" s="374"/>
      <c r="AG29" s="374"/>
      <c r="AH29" s="374"/>
      <c r="AI29" s="374"/>
      <c r="AJ29" s="374"/>
      <c r="AV29" s="114" t="str">
        <f>IF(COUNTA(G29:M29)=7,"○","×")</f>
        <v>×</v>
      </c>
      <c r="AW29" s="322" t="str">
        <f>IF(AV29="×","【口座番号】７桁の口座番号が未入力又は正しく入力されていません。","７桁の口座番号が正しく入力されました。")</f>
        <v>【口座番号】７桁の口座番号が未入力又は正しく入力されていません。</v>
      </c>
      <c r="AX29" s="323"/>
      <c r="AY29" s="110" t="str">
        <f>IF(AV29="×","７桁の口座番号が未入力又は正しく入力されていません。/","")</f>
        <v>７桁の口座番号が未入力又は正しく入力されていません。/</v>
      </c>
    </row>
    <row r="30" spans="1:52" s="110" customFormat="1" ht="24.75" customHeight="1" x14ac:dyDescent="0.6">
      <c r="A30" s="363"/>
      <c r="B30" s="346" t="s">
        <v>59</v>
      </c>
      <c r="C30" s="346"/>
      <c r="D30" s="346"/>
      <c r="E30" s="346"/>
      <c r="F30" s="347"/>
      <c r="G30" s="36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V30" s="114" t="str">
        <f>IF(COUNTA(G30:AJ30)&gt;=1,"○","×")</f>
        <v>×</v>
      </c>
      <c r="AW30" s="322" t="str">
        <f>IF(AV30="×","【口座名義（ｶﾅ）】口座のｶﾅ名義が未入力です。","口座のｶﾅ名義がが正しく入力されました。")</f>
        <v>【口座名義（ｶﾅ）】口座のｶﾅ名義が未入力です。</v>
      </c>
      <c r="AX30" s="323"/>
      <c r="AY30" s="110" t="str">
        <f>IF(AV30="×","口座のｶﾅ名義が未入力です。/","")</f>
        <v>口座のｶﾅ名義が未入力です。/</v>
      </c>
    </row>
    <row r="31" spans="1:52" s="110" customFormat="1" ht="24.75" customHeight="1" x14ac:dyDescent="0.6">
      <c r="A31" s="364"/>
      <c r="B31" s="346" t="s">
        <v>62</v>
      </c>
      <c r="C31" s="346"/>
      <c r="D31" s="346"/>
      <c r="E31" s="346"/>
      <c r="F31" s="347"/>
      <c r="G31" s="365"/>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V31" s="114" t="str">
        <f>IF(COUNTA(G31:AJ31)&gt;=1,"○","×")</f>
        <v>×</v>
      </c>
      <c r="AW31" s="322" t="str">
        <f>IF(AV31="×","【口座名義】口座の名義が未入力です。","口座の名義がが正しく入力されました。")</f>
        <v>【口座名義】口座の名義が未入力です。</v>
      </c>
      <c r="AX31" s="323"/>
      <c r="AY31" s="110" t="str">
        <f>IF(AV31="×","口座の名義が未入力です。/","")</f>
        <v>口座の名義が未入力です。/</v>
      </c>
    </row>
    <row r="32" spans="1:52" s="110" customFormat="1" ht="22.5" x14ac:dyDescent="0.6">
      <c r="A32" s="357" t="s">
        <v>60</v>
      </c>
      <c r="B32" s="358"/>
      <c r="C32" s="358"/>
      <c r="D32" s="358"/>
      <c r="E32" s="358"/>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V32" s="111"/>
      <c r="AW32" s="112"/>
      <c r="AY32" s="118" t="str">
        <f>AY23&amp;AY24&amp;AY25&amp;AY26&amp;AY28&amp;AY29&amp;AY30&amp;AY31</f>
        <v>４桁の金融機関コードが未入力又は正しく入力されていません。/３桁の支店番号が未入力又は正しく入力されていません。/金融機関名が未入力です。/金融機関の支店名称が未入力です。/預金種別の番号が未入力です。/７桁の口座番号が未入力又は正しく入力されていません。/口座のｶﾅ名義が未入力です。/口座の名義が未入力です。/</v>
      </c>
      <c r="AZ32" s="110" t="s">
        <v>191</v>
      </c>
    </row>
    <row r="33" spans="2:49" s="110" customFormat="1" ht="23" thickBot="1" x14ac:dyDescent="0.7">
      <c r="C33" s="119"/>
      <c r="AV33" s="111"/>
      <c r="AW33" s="112"/>
    </row>
    <row r="34" spans="2:49" s="110" customFormat="1" ht="20" x14ac:dyDescent="0.6">
      <c r="B34" s="328" t="s">
        <v>63</v>
      </c>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29"/>
      <c r="AI34" s="330"/>
      <c r="AV34" s="111"/>
      <c r="AW34" s="112"/>
    </row>
    <row r="35" spans="2:49" s="110" customFormat="1" ht="20" x14ac:dyDescent="0.6">
      <c r="B35" s="331"/>
      <c r="C35" s="332"/>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3"/>
      <c r="AV35" s="111"/>
      <c r="AW35" s="112"/>
    </row>
    <row r="36" spans="2:49" s="110" customFormat="1" ht="20" x14ac:dyDescent="0.6">
      <c r="B36" s="331"/>
      <c r="C36" s="332"/>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3"/>
      <c r="AV36" s="111"/>
      <c r="AW36" s="112"/>
    </row>
    <row r="37" spans="2:49" s="110" customFormat="1" ht="20" x14ac:dyDescent="0.6">
      <c r="B37" s="331"/>
      <c r="C37" s="332"/>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3"/>
      <c r="AV37" s="111"/>
      <c r="AW37" s="112"/>
    </row>
    <row r="38" spans="2:49" s="110" customFormat="1" ht="20" x14ac:dyDescent="0.6">
      <c r="B38" s="331"/>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3"/>
      <c r="AV38" s="111"/>
      <c r="AW38" s="112"/>
    </row>
    <row r="39" spans="2:49" s="110" customFormat="1" ht="20" x14ac:dyDescent="0.6">
      <c r="B39" s="331"/>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3"/>
      <c r="AV39" s="111"/>
      <c r="AW39" s="112"/>
    </row>
    <row r="40" spans="2:49" s="110" customFormat="1" ht="20" x14ac:dyDescent="0.6">
      <c r="B40" s="331"/>
      <c r="C40" s="332"/>
      <c r="D40" s="332"/>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c r="AI40" s="333"/>
      <c r="AV40" s="111"/>
      <c r="AW40" s="112"/>
    </row>
    <row r="41" spans="2:49" s="110" customFormat="1" ht="20" x14ac:dyDescent="0.6">
      <c r="B41" s="331"/>
      <c r="C41" s="332"/>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3"/>
      <c r="AV41" s="111"/>
      <c r="AW41" s="112"/>
    </row>
    <row r="42" spans="2:49" s="110" customFormat="1" ht="20" x14ac:dyDescent="0.6">
      <c r="B42" s="331"/>
      <c r="C42" s="332"/>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3"/>
      <c r="AV42" s="111"/>
      <c r="AW42" s="112"/>
    </row>
    <row r="43" spans="2:49" s="110" customFormat="1" ht="20" x14ac:dyDescent="0.6">
      <c r="B43" s="331"/>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3"/>
      <c r="AV43" s="111"/>
      <c r="AW43" s="112"/>
    </row>
    <row r="44" spans="2:49" s="110" customFormat="1" ht="20" x14ac:dyDescent="0.6">
      <c r="B44" s="331"/>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3"/>
      <c r="AV44" s="111"/>
      <c r="AW44" s="112"/>
    </row>
    <row r="45" spans="2:49" s="110" customFormat="1" ht="20" x14ac:dyDescent="0.6">
      <c r="B45" s="331"/>
      <c r="C45" s="332"/>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3"/>
      <c r="AV45" s="111"/>
      <c r="AW45" s="112"/>
    </row>
    <row r="46" spans="2:49" s="110" customFormat="1" ht="20" x14ac:dyDescent="0.6">
      <c r="B46" s="331"/>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c r="AE46" s="332"/>
      <c r="AF46" s="332"/>
      <c r="AG46" s="332"/>
      <c r="AH46" s="332"/>
      <c r="AI46" s="333"/>
      <c r="AV46" s="111"/>
      <c r="AW46" s="112"/>
    </row>
    <row r="47" spans="2:49" s="110" customFormat="1" ht="20" x14ac:dyDescent="0.6">
      <c r="B47" s="331"/>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c r="AI47" s="333"/>
      <c r="AV47" s="111"/>
      <c r="AW47" s="112"/>
    </row>
    <row r="48" spans="2:49" s="110" customFormat="1" ht="20" x14ac:dyDescent="0.6">
      <c r="B48" s="331"/>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c r="AI48" s="333"/>
      <c r="AV48" s="111"/>
      <c r="AW48" s="112"/>
    </row>
    <row r="49" spans="2:49" s="110" customFormat="1" ht="20" x14ac:dyDescent="0.6">
      <c r="B49" s="331"/>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c r="AH49" s="332"/>
      <c r="AI49" s="333"/>
      <c r="AV49" s="111"/>
      <c r="AW49" s="112"/>
    </row>
    <row r="50" spans="2:49" s="110" customFormat="1" ht="20" x14ac:dyDescent="0.6">
      <c r="B50" s="331"/>
      <c r="C50" s="332"/>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3"/>
      <c r="AV50" s="111"/>
      <c r="AW50" s="112"/>
    </row>
    <row r="51" spans="2:49" s="110" customFormat="1" ht="20" x14ac:dyDescent="0.6">
      <c r="B51" s="331"/>
      <c r="C51" s="332"/>
      <c r="D51" s="332"/>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2"/>
      <c r="AG51" s="332"/>
      <c r="AH51" s="332"/>
      <c r="AI51" s="333"/>
      <c r="AV51" s="111"/>
      <c r="AW51" s="112"/>
    </row>
    <row r="52" spans="2:49" s="110" customFormat="1" ht="20" x14ac:dyDescent="0.6">
      <c r="B52" s="331"/>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2"/>
      <c r="AI52" s="333"/>
      <c r="AV52" s="111"/>
      <c r="AW52" s="112"/>
    </row>
    <row r="53" spans="2:49" s="110" customFormat="1" ht="20" x14ac:dyDescent="0.6">
      <c r="B53" s="331"/>
      <c r="C53" s="332"/>
      <c r="D53" s="332"/>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3"/>
      <c r="AV53" s="111"/>
      <c r="AW53" s="112"/>
    </row>
    <row r="54" spans="2:49" s="110" customFormat="1" ht="20" x14ac:dyDescent="0.6">
      <c r="B54" s="331"/>
      <c r="C54" s="332"/>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3"/>
      <c r="AV54" s="111"/>
      <c r="AW54" s="112"/>
    </row>
    <row r="55" spans="2:49" s="110" customFormat="1" ht="20" x14ac:dyDescent="0.6">
      <c r="B55" s="331"/>
      <c r="C55" s="332"/>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33"/>
      <c r="AV55" s="111"/>
      <c r="AW55" s="112"/>
    </row>
    <row r="56" spans="2:49" s="110" customFormat="1" ht="20.5" thickBot="1" x14ac:dyDescent="0.65">
      <c r="B56" s="334"/>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6"/>
      <c r="AV56" s="111"/>
      <c r="AW56" s="112"/>
    </row>
  </sheetData>
  <sheetProtection algorithmName="SHA-512" hashValue="GWnIVpNPwoytEKwJBnPJmFstY+UDrC2F3PxTbHzVWrGc0diYSTn0Y6/pdBgs5eVInlF4ykblGijTPYpl/stdmA==" saltValue="5O207jTzd6lYij2Cft8J/Q==" spinCount="100000" sheet="1" objects="1" scenarios="1"/>
  <mergeCells count="47">
    <mergeCell ref="B31:F31"/>
    <mergeCell ref="G31:AJ31"/>
    <mergeCell ref="B26:F26"/>
    <mergeCell ref="G26:M26"/>
    <mergeCell ref="N26:AJ26"/>
    <mergeCell ref="B27:AJ27"/>
    <mergeCell ref="B28:F28"/>
    <mergeCell ref="G28:H28"/>
    <mergeCell ref="I28:AJ28"/>
    <mergeCell ref="B29:F29"/>
    <mergeCell ref="N29:AJ29"/>
    <mergeCell ref="B30:F30"/>
    <mergeCell ref="G30:AJ30"/>
    <mergeCell ref="B34:AI56"/>
    <mergeCell ref="S11:AJ12"/>
    <mergeCell ref="B23:F23"/>
    <mergeCell ref="K23:AJ23"/>
    <mergeCell ref="B24:F24"/>
    <mergeCell ref="B25:F25"/>
    <mergeCell ref="N13:R18"/>
    <mergeCell ref="S13:V14"/>
    <mergeCell ref="W13:AJ14"/>
    <mergeCell ref="S15:V16"/>
    <mergeCell ref="W15:AJ16"/>
    <mergeCell ref="S17:V18"/>
    <mergeCell ref="W17:AJ18"/>
    <mergeCell ref="A32:AJ32"/>
    <mergeCell ref="A20:AJ20"/>
    <mergeCell ref="A23:A31"/>
    <mergeCell ref="N11:R12"/>
    <mergeCell ref="A3:AJ5"/>
    <mergeCell ref="N7:R8"/>
    <mergeCell ref="S7:AJ8"/>
    <mergeCell ref="N9:R10"/>
    <mergeCell ref="S9:AJ10"/>
    <mergeCell ref="AW30:AX30"/>
    <mergeCell ref="AW31:AX31"/>
    <mergeCell ref="AW22:AX22"/>
    <mergeCell ref="AW23:AX23"/>
    <mergeCell ref="AW24:AX24"/>
    <mergeCell ref="AW25:AX25"/>
    <mergeCell ref="AW26:AX26"/>
    <mergeCell ref="N25:AJ25"/>
    <mergeCell ref="G25:M25"/>
    <mergeCell ref="K24:AJ24"/>
    <mergeCell ref="AW28:AX28"/>
    <mergeCell ref="AW29:AX29"/>
  </mergeCells>
  <phoneticPr fontId="1"/>
  <conditionalFormatting sqref="AV22:AV31">
    <cfRule type="containsText" dxfId="41" priority="7" operator="containsText" text="×">
      <formula>NOT(ISERROR(SEARCH("×",AV22)))</formula>
    </cfRule>
  </conditionalFormatting>
  <conditionalFormatting sqref="AW23:AX31">
    <cfRule type="containsText" dxfId="40" priority="6" operator="containsText" text="未入力">
      <formula>NOT(ISERROR(SEARCH("未入力",AW23)))</formula>
    </cfRule>
  </conditionalFormatting>
  <conditionalFormatting sqref="AW22:AX22">
    <cfRule type="containsText" dxfId="39" priority="4" operator="containsText" text="不十分">
      <formula>NOT(ISERROR(SEARCH("不十分",AW22)))</formula>
    </cfRule>
    <cfRule type="containsText" dxfId="38" priority="5" operator="containsText" text="藤生bん">
      <formula>NOT(ISERROR(SEARCH("藤生bん",AW22)))</formula>
    </cfRule>
  </conditionalFormatting>
  <conditionalFormatting sqref="AK22">
    <cfRule type="containsText" dxfId="37" priority="1" operator="containsText" text="不十分">
      <formula>NOT(ISERROR(SEARCH("不十分",AK22)))</formula>
    </cfRule>
    <cfRule type="containsText" dxfId="36" priority="2" operator="containsText" text="藤生bん">
      <formula>NOT(ISERROR(SEARCH("藤生bん",AK22)))</formula>
    </cfRule>
  </conditionalFormatting>
  <dataValidations count="5">
    <dataValidation type="textLength" imeMode="halfKatakana" allowBlank="1" showInputMessage="1" showErrorMessage="1" errorTitle="入力された文字列が長すぎます。" error="入力文字数は30字以内としてください。" prompt="左詰めで半角カタカナ30字以内で入力してください。" sqref="G30:G31 H30:AJ30" xr:uid="{00000000-0002-0000-0200-000000000000}">
      <formula1>1</formula1>
      <formula2>30</formula2>
    </dataValidation>
    <dataValidati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25" xr:uid="{00000000-0002-0000-0200-000001000000}"/>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9:M29" xr:uid="{00000000-0002-0000-0200-000002000000}">
      <formula1>AND(LENB(G29:M29)=LEN(G29:M29))</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4:I24" xr:uid="{00000000-0002-0000-0200-000003000000}">
      <formula1>AND(LENB(G24:I24)=LEN(G24:I24))</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23:J23" xr:uid="{00000000-0002-0000-0200-000004000000}">
      <formula1>AND(LENB(D23:G23)=LEN(D23:G23))</formula1>
    </dataValidation>
  </dataValidations>
  <pageMargins left="0.7" right="0.7" top="0.75" bottom="0.75" header="0.3" footer="0.3"/>
  <pageSetup paperSize="9"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N45"/>
  <sheetViews>
    <sheetView view="pageBreakPreview" zoomScale="50" zoomScaleNormal="100" zoomScaleSheetLayoutView="50" workbookViewId="0">
      <pane ySplit="5" topLeftCell="A15" activePane="bottomLeft" state="frozen"/>
      <selection pane="bottomLeft" activeCell="D26" sqref="D26"/>
    </sheetView>
  </sheetViews>
  <sheetFormatPr defaultColWidth="8.58203125" defaultRowHeight="35" x14ac:dyDescent="0.55000000000000004"/>
  <cols>
    <col min="1" max="4" width="15.58203125" style="147" customWidth="1"/>
    <col min="5" max="5" width="30.58203125" style="147" customWidth="1"/>
    <col min="6" max="9" width="15.58203125" style="147" customWidth="1"/>
    <col min="10" max="12" width="8.58203125" style="147"/>
    <col min="13" max="13" width="90.58203125" style="147" customWidth="1"/>
    <col min="14" max="16384" width="8.58203125" style="147"/>
  </cols>
  <sheetData>
    <row r="1" spans="1:14" ht="45" customHeight="1" x14ac:dyDescent="0.55000000000000004">
      <c r="F1" s="380"/>
      <c r="G1" s="381"/>
      <c r="H1" s="378" t="str">
        <f>IF(はじめに入力してください!L19="","",はじめに入力してください!L19)</f>
        <v/>
      </c>
      <c r="I1" s="379"/>
      <c r="M1" s="184"/>
      <c r="N1" s="184"/>
    </row>
    <row r="2" spans="1:14" ht="45" customHeight="1" x14ac:dyDescent="0.55000000000000004">
      <c r="I2" s="148" t="s">
        <v>229</v>
      </c>
      <c r="M2" s="389"/>
      <c r="N2" s="390"/>
    </row>
    <row r="3" spans="1:14" ht="45" customHeight="1" x14ac:dyDescent="0.55000000000000004">
      <c r="M3" s="381"/>
      <c r="N3" s="391"/>
    </row>
    <row r="4" spans="1:14" ht="45" customHeight="1" x14ac:dyDescent="0.55000000000000004">
      <c r="A4" s="376" t="s">
        <v>230</v>
      </c>
      <c r="B4" s="382"/>
      <c r="C4" s="382"/>
    </row>
    <row r="5" spans="1:14" ht="45" customHeight="1" x14ac:dyDescent="0.55000000000000004"/>
    <row r="6" spans="1:14" ht="45" customHeight="1" x14ac:dyDescent="0.55000000000000004">
      <c r="E6" s="383" t="s">
        <v>231</v>
      </c>
      <c r="F6" s="376" t="str">
        <f>IF(はじめに入力してください!H9="","",はじめに入力してください!H9)</f>
        <v/>
      </c>
      <c r="G6" s="377"/>
      <c r="H6" s="377"/>
      <c r="I6" s="377"/>
    </row>
    <row r="7" spans="1:14" ht="45" customHeight="1" x14ac:dyDescent="0.55000000000000004">
      <c r="E7" s="384"/>
      <c r="F7" s="377"/>
      <c r="G7" s="377"/>
      <c r="H7" s="377"/>
      <c r="I7" s="377"/>
    </row>
    <row r="8" spans="1:14" ht="45" customHeight="1" x14ac:dyDescent="0.55000000000000004">
      <c r="E8" s="149" t="s">
        <v>5</v>
      </c>
      <c r="F8" s="376" t="str">
        <f>IF(はじめに入力してください!H6="","",はじめに入力してください!H6)</f>
        <v/>
      </c>
      <c r="G8" s="377"/>
      <c r="H8" s="377"/>
      <c r="I8" s="377"/>
    </row>
    <row r="9" spans="1:14" ht="45" customHeight="1" x14ac:dyDescent="0.55000000000000004">
      <c r="E9" s="149" t="s">
        <v>31</v>
      </c>
      <c r="F9" s="376" t="str">
        <f>IF(はじめに入力してください!H7&amp;"　"&amp;はじめに入力してください!H8="","",はじめに入力してください!H7&amp;"　"&amp;はじめに入力してください!H8)</f>
        <v>　</v>
      </c>
      <c r="G9" s="377"/>
      <c r="H9" s="377"/>
      <c r="I9" s="377"/>
    </row>
    <row r="10" spans="1:14" ht="45" customHeight="1" x14ac:dyDescent="0.55000000000000004">
      <c r="E10" s="149" t="s">
        <v>95</v>
      </c>
      <c r="F10" s="376" t="str">
        <f>IF(はじめに入力してください!H10="","",はじめに入力してください!H10)</f>
        <v/>
      </c>
      <c r="G10" s="377"/>
      <c r="H10" s="377"/>
      <c r="I10" s="377"/>
    </row>
    <row r="11" spans="1:14" ht="45" customHeight="1" x14ac:dyDescent="0.55000000000000004"/>
    <row r="12" spans="1:14" ht="45" customHeight="1" x14ac:dyDescent="0.55000000000000004">
      <c r="A12" s="398" t="s">
        <v>232</v>
      </c>
      <c r="B12" s="399"/>
      <c r="C12" s="399"/>
      <c r="D12" s="399"/>
      <c r="E12" s="399"/>
      <c r="F12" s="399"/>
      <c r="G12" s="399"/>
      <c r="H12" s="399"/>
      <c r="I12" s="399"/>
    </row>
    <row r="13" spans="1:14" ht="45" customHeight="1" x14ac:dyDescent="0.55000000000000004">
      <c r="A13" s="399"/>
      <c r="B13" s="399"/>
      <c r="C13" s="399"/>
      <c r="D13" s="399"/>
      <c r="E13" s="399"/>
      <c r="F13" s="399"/>
      <c r="G13" s="399"/>
      <c r="H13" s="399"/>
      <c r="I13" s="399"/>
    </row>
    <row r="14" spans="1:14" ht="45" customHeight="1" x14ac:dyDescent="0.55000000000000004"/>
    <row r="15" spans="1:14" ht="45" customHeight="1" x14ac:dyDescent="0.55000000000000004">
      <c r="A15" s="400" t="s">
        <v>449</v>
      </c>
      <c r="B15" s="401"/>
      <c r="C15" s="401"/>
      <c r="D15" s="401"/>
      <c r="E15" s="401"/>
      <c r="F15" s="401"/>
      <c r="G15" s="401"/>
      <c r="H15" s="401"/>
      <c r="I15" s="401"/>
    </row>
    <row r="16" spans="1:14" ht="45" customHeight="1" x14ac:dyDescent="0.55000000000000004">
      <c r="A16" s="401"/>
      <c r="B16" s="401"/>
      <c r="C16" s="401"/>
      <c r="D16" s="401"/>
      <c r="E16" s="401"/>
      <c r="F16" s="401"/>
      <c r="G16" s="401"/>
      <c r="H16" s="401"/>
      <c r="I16" s="401"/>
    </row>
    <row r="17" spans="1:13" ht="45" customHeight="1" x14ac:dyDescent="0.55000000000000004">
      <c r="A17" s="402" t="s">
        <v>10</v>
      </c>
      <c r="B17" s="403"/>
      <c r="C17" s="403"/>
      <c r="D17" s="403"/>
      <c r="E17" s="403"/>
      <c r="F17" s="403"/>
      <c r="G17" s="403"/>
      <c r="H17" s="403"/>
      <c r="I17" s="403"/>
    </row>
    <row r="18" spans="1:13" ht="45" customHeight="1" x14ac:dyDescent="0.55000000000000004">
      <c r="A18" s="147" t="s">
        <v>233</v>
      </c>
    </row>
    <row r="19" spans="1:13" ht="45" customHeight="1" x14ac:dyDescent="0.55000000000000004">
      <c r="A19" s="147" t="str">
        <f>IF(表紙!G20="　　金　　　　　　　　　円","　　金　　　　　　　　　円","　　"&amp;TEXT(表紙!G20,"金#,###円"))</f>
        <v>　　金　　　　　　　　　円</v>
      </c>
    </row>
    <row r="20" spans="1:13" ht="45" customHeight="1" x14ac:dyDescent="0.55000000000000004"/>
    <row r="21" spans="1:13" ht="45" customHeight="1" x14ac:dyDescent="0.55000000000000004">
      <c r="A21" s="147" t="s">
        <v>234</v>
      </c>
    </row>
    <row r="22" spans="1:13" ht="45" customHeight="1" x14ac:dyDescent="0.55000000000000004">
      <c r="B22" s="392" t="s">
        <v>235</v>
      </c>
      <c r="C22" s="393"/>
      <c r="D22" s="394" t="str">
        <f>IFERROR(VLOOKUP(はじめに入力してください!L19,リスト!A:W,20,FALSE),"")</f>
        <v/>
      </c>
      <c r="E22" s="395"/>
      <c r="F22" s="395"/>
      <c r="G22" s="395"/>
      <c r="H22" s="395"/>
    </row>
    <row r="23" spans="1:13" ht="45" customHeight="1" x14ac:dyDescent="0.55000000000000004">
      <c r="B23" s="392" t="s">
        <v>105</v>
      </c>
      <c r="C23" s="393"/>
      <c r="D23" s="394" t="str">
        <f>IFERROR(VLOOKUP(はじめに入力してください!L19,リスト!A:W,21,FALSE),"")</f>
        <v/>
      </c>
      <c r="E23" s="395"/>
      <c r="F23" s="395"/>
      <c r="G23" s="395"/>
      <c r="H23" s="395"/>
    </row>
    <row r="24" spans="1:13" ht="45" customHeight="1" x14ac:dyDescent="0.55000000000000004">
      <c r="B24" s="392" t="s">
        <v>236</v>
      </c>
      <c r="C24" s="393"/>
      <c r="D24" s="394" t="str">
        <f>IFERROR(VLOOKUP(はじめに入力してください!L19,リスト!A:W,22,FALSE),"")</f>
        <v/>
      </c>
      <c r="E24" s="395"/>
      <c r="F24" s="395"/>
      <c r="G24" s="395"/>
      <c r="H24" s="395"/>
    </row>
    <row r="25" spans="1:13" ht="45" customHeight="1" x14ac:dyDescent="0.55000000000000004">
      <c r="B25" s="392" t="s">
        <v>107</v>
      </c>
      <c r="C25" s="393"/>
      <c r="D25" s="396"/>
      <c r="E25" s="397"/>
      <c r="F25" s="397"/>
      <c r="G25" s="397"/>
      <c r="H25" s="397"/>
    </row>
    <row r="26" spans="1:13" ht="45" customHeight="1" x14ac:dyDescent="0.55000000000000004"/>
    <row r="27" spans="1:13" ht="45" customHeight="1" x14ac:dyDescent="0.55000000000000004"/>
    <row r="28" spans="1:13" ht="45" customHeight="1" x14ac:dyDescent="0.55000000000000004"/>
    <row r="29" spans="1:13" ht="45" customHeight="1" x14ac:dyDescent="0.55000000000000004"/>
    <row r="30" spans="1:13" ht="45" customHeight="1" x14ac:dyDescent="0.55000000000000004"/>
    <row r="31" spans="1:13" ht="45" customHeight="1" x14ac:dyDescent="0.55000000000000004"/>
    <row r="32" spans="1:13" ht="45" customHeight="1" x14ac:dyDescent="0.55000000000000004">
      <c r="L32" s="183" t="s">
        <v>446</v>
      </c>
      <c r="M32" s="183" t="s">
        <v>447</v>
      </c>
    </row>
    <row r="33" spans="12:13" ht="45" customHeight="1" x14ac:dyDescent="0.55000000000000004">
      <c r="L33" s="385" t="str">
        <f>IF(LEN(D25)=7,"○","×")</f>
        <v>×</v>
      </c>
      <c r="M33" s="387" t="str">
        <f>IF(LEN(D25)=7,"適切に入力がされました。"&amp;CHAR(10)&amp;"※右肩の日付は入力しないでください。",
"【要修正】７桁の振込先口座番号を入力してください。"&amp;CHAR(10)&amp;"※先頭が０の場合も必ず入力してください。"&amp;CHAR(10)&amp;"※右肩の日付は入力しないでください。")</f>
        <v>【要修正】７桁の振込先口座番号を入力してください。
※先頭が０の場合も必ず入力してください。
※右肩の日付は入力しないでください。</v>
      </c>
    </row>
    <row r="34" spans="12:13" ht="45" customHeight="1" x14ac:dyDescent="0.55000000000000004">
      <c r="L34" s="386"/>
      <c r="M34" s="388"/>
    </row>
    <row r="35" spans="12:13" ht="45" customHeight="1" x14ac:dyDescent="0.55000000000000004"/>
    <row r="36" spans="12:13" ht="45" customHeight="1" x14ac:dyDescent="0.55000000000000004"/>
    <row r="37" spans="12:13" ht="45" customHeight="1" x14ac:dyDescent="0.55000000000000004"/>
    <row r="38" spans="12:13" ht="45" customHeight="1" x14ac:dyDescent="0.55000000000000004"/>
    <row r="39" spans="12:13" ht="45" customHeight="1" x14ac:dyDescent="0.55000000000000004"/>
    <row r="40" spans="12:13" ht="45" customHeight="1" x14ac:dyDescent="0.55000000000000004"/>
    <row r="41" spans="12:13" ht="45" customHeight="1" x14ac:dyDescent="0.55000000000000004"/>
    <row r="42" spans="12:13" ht="45" customHeight="1" x14ac:dyDescent="0.55000000000000004"/>
    <row r="43" spans="12:13" ht="45" customHeight="1" x14ac:dyDescent="0.55000000000000004"/>
    <row r="44" spans="12:13" ht="45" customHeight="1" x14ac:dyDescent="0.55000000000000004"/>
    <row r="45" spans="12:13" ht="45" customHeight="1" x14ac:dyDescent="0.55000000000000004"/>
  </sheetData>
  <sheetProtection algorithmName="SHA-512" hashValue="6pNZteLjiUpvZ4eMtXRjyvE9vcN0Wm+RuZNNLIJJLJ6UKmo/34bLcID8VP6FVZ7fdgiGC/KS6xNMkQ8Mav+ZYQ==" saltValue="fDXrh9Nz6J+p0JocHCrNhQ==" spinCount="100000" sheet="1" objects="1" scenarios="1"/>
  <mergeCells count="23">
    <mergeCell ref="L33:L34"/>
    <mergeCell ref="M33:M34"/>
    <mergeCell ref="M2:M3"/>
    <mergeCell ref="N2:N3"/>
    <mergeCell ref="B24:C24"/>
    <mergeCell ref="D24:H24"/>
    <mergeCell ref="B25:C25"/>
    <mergeCell ref="D25:H25"/>
    <mergeCell ref="A12:I13"/>
    <mergeCell ref="A15:I16"/>
    <mergeCell ref="A17:I17"/>
    <mergeCell ref="B22:C22"/>
    <mergeCell ref="D22:H22"/>
    <mergeCell ref="B23:C23"/>
    <mergeCell ref="D23:H23"/>
    <mergeCell ref="F10:I10"/>
    <mergeCell ref="F8:I8"/>
    <mergeCell ref="F9:I9"/>
    <mergeCell ref="H1:I1"/>
    <mergeCell ref="F1:G1"/>
    <mergeCell ref="A4:C4"/>
    <mergeCell ref="E6:E7"/>
    <mergeCell ref="F6:I7"/>
  </mergeCells>
  <phoneticPr fontId="1"/>
  <conditionalFormatting sqref="L33:L34">
    <cfRule type="containsText" dxfId="35" priority="2" operator="containsText" text="×">
      <formula>NOT(ISERROR(SEARCH("×",L33)))</formula>
    </cfRule>
    <cfRule type="containsText" dxfId="34" priority="6" operator="containsText" text="×">
      <formula>NOT(ISERROR(SEARCH("×",L33)))</formula>
    </cfRule>
  </conditionalFormatting>
  <conditionalFormatting sqref="M33:M34">
    <cfRule type="containsText" dxfId="33" priority="1" operator="containsText" text="要修正">
      <formula>NOT(ISERROR(SEARCH("要修正",M33)))</formula>
    </cfRule>
    <cfRule type="containsText" dxfId="32" priority="5" operator="containsText" text="要修正">
      <formula>NOT(ISERROR(SEARCH("要修正",M33)))</formula>
    </cfRule>
  </conditionalFormatting>
  <conditionalFormatting sqref="M2:M3">
    <cfRule type="containsText" dxfId="31" priority="4" operator="containsText" text="×">
      <formula>NOT(ISERROR(SEARCH("×",M2)))</formula>
    </cfRule>
  </conditionalFormatting>
  <conditionalFormatting sqref="N2:N3">
    <cfRule type="containsText" dxfId="30" priority="3" operator="containsText" text="要修正">
      <formula>NOT(ISERROR(SEARCH("要修正",N2)))</formula>
    </cfRule>
  </conditionalFormatting>
  <pageMargins left="0.7" right="0.7" top="0.75" bottom="0.75" header="0.3" footer="0.3"/>
  <pageSetup paperSize="9" scale="51"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BB56"/>
  <sheetViews>
    <sheetView showGridLines="0" view="pageBreakPreview" topLeftCell="A10" zoomScaleNormal="100" zoomScaleSheetLayoutView="100" workbookViewId="0">
      <selection activeCell="X11" sqref="X11"/>
    </sheetView>
  </sheetViews>
  <sheetFormatPr defaultColWidth="5.58203125" defaultRowHeight="20.149999999999999" customHeight="1" x14ac:dyDescent="0.55000000000000004"/>
  <cols>
    <col min="1" max="1" width="3.58203125" style="1" customWidth="1"/>
    <col min="2" max="18" width="4.58203125" style="1" customWidth="1"/>
    <col min="19" max="19" width="1.58203125" style="1" customWidth="1"/>
    <col min="20" max="20" width="1.75" style="1" customWidth="1"/>
    <col min="21" max="22" width="10.08203125" style="1" customWidth="1"/>
    <col min="23" max="23" width="10.08203125" style="1" hidden="1" customWidth="1"/>
    <col min="24" max="25" width="10.08203125" style="1" customWidth="1"/>
    <col min="26" max="26" width="7" style="1" customWidth="1"/>
    <col min="27" max="38" width="10.25" style="1" customWidth="1"/>
    <col min="39" max="39" width="4.58203125" style="1" customWidth="1"/>
    <col min="40" max="41" width="10.58203125" style="1" customWidth="1"/>
    <col min="42" max="42" width="4.58203125" style="1" customWidth="1"/>
    <col min="43" max="44" width="10.25" style="1" customWidth="1"/>
    <col min="45" max="47" width="6.58203125" style="1" customWidth="1"/>
    <col min="48" max="54" width="10.25" style="1" customWidth="1"/>
    <col min="55" max="16384" width="5.58203125" style="1"/>
  </cols>
  <sheetData>
    <row r="1" spans="2:54" ht="45" customHeight="1" x14ac:dyDescent="0.55000000000000004"/>
    <row r="2" spans="2:54" ht="18" customHeight="1" x14ac:dyDescent="0.55000000000000004">
      <c r="O2" s="410"/>
      <c r="P2" s="411"/>
      <c r="Q2" s="408" t="str">
        <f>IF(はじめに入力してください!L19="","",はじめに入力してください!L19)</f>
        <v/>
      </c>
      <c r="R2" s="409"/>
      <c r="S2" s="409"/>
    </row>
    <row r="3" spans="2:54" ht="18" customHeight="1" x14ac:dyDescent="0.55000000000000004">
      <c r="B3" s="21" t="str">
        <f xml:space="preserve">
IF(V8="交付申請","第１号様式",
IF(V8="変更申請","第３号様式",
IF(V8="実績報告","第４号様式")))</f>
        <v>第４号様式</v>
      </c>
    </row>
    <row r="4" spans="2:54" ht="18" customHeight="1" x14ac:dyDescent="0.55000000000000004">
      <c r="N4" s="434" t="str">
        <f>IF(はじめに入力してください!H14="","",はじめに入力してください!H14)</f>
        <v/>
      </c>
      <c r="O4" s="434"/>
      <c r="P4" s="434"/>
      <c r="Q4" s="434"/>
      <c r="R4" s="21"/>
      <c r="Z4" s="423"/>
      <c r="AA4" s="423"/>
      <c r="AB4" s="431"/>
      <c r="AC4" s="423"/>
      <c r="AD4" s="427"/>
      <c r="AE4" s="427"/>
      <c r="AF4" s="427"/>
      <c r="AG4" s="423"/>
      <c r="AH4" s="423"/>
      <c r="AI4" s="427"/>
      <c r="AJ4" s="427"/>
      <c r="AK4" s="422"/>
      <c r="AL4" s="422"/>
      <c r="AM4" s="422"/>
      <c r="AN4" s="422"/>
      <c r="AO4" s="422"/>
      <c r="AP4" s="422"/>
      <c r="AQ4" s="422"/>
      <c r="AR4" s="422"/>
      <c r="AS4" s="427"/>
      <c r="AT4" s="429"/>
      <c r="AU4" s="429"/>
      <c r="AV4" s="428"/>
      <c r="AW4" s="428"/>
      <c r="AX4" s="428"/>
      <c r="AY4" s="428"/>
      <c r="AZ4" s="428"/>
      <c r="BA4" s="430"/>
      <c r="BB4" s="430"/>
    </row>
    <row r="5" spans="2:54" ht="18" customHeight="1" x14ac:dyDescent="0.55000000000000004">
      <c r="N5" s="432" t="str">
        <f>IF(COUNTA(はじめに入力してください!I12,はじめに入力してください!K12,はじめに入力してください!M12)&lt;&gt;3,
"令和　年　月　　日",
はじめに入力してください!H12&amp;はじめに入力してください!I12&amp;はじめに入力してください!J12&amp;はじめに入力してください!K12&amp;はじめに入力してください!L12&amp;はじめに入力してください!M12&amp;はじめに入力してください!N12)</f>
        <v>令和　年　月　　日</v>
      </c>
      <c r="O5" s="433"/>
      <c r="P5" s="433"/>
      <c r="Q5" s="433"/>
      <c r="R5" s="185"/>
      <c r="Z5" s="423"/>
      <c r="AA5" s="423"/>
      <c r="AB5" s="431"/>
      <c r="AC5" s="423"/>
      <c r="AD5" s="427"/>
      <c r="AE5" s="427"/>
      <c r="AF5" s="427"/>
      <c r="AG5" s="423"/>
      <c r="AH5" s="423"/>
      <c r="AI5" s="427"/>
      <c r="AJ5" s="427"/>
      <c r="AK5" s="169"/>
      <c r="AL5" s="170"/>
      <c r="AM5" s="169"/>
      <c r="AN5" s="170"/>
      <c r="AO5" s="422"/>
      <c r="AP5" s="169"/>
      <c r="AQ5" s="170"/>
      <c r="AR5" s="422"/>
      <c r="AS5" s="427"/>
      <c r="AT5" s="429"/>
      <c r="AU5" s="429"/>
      <c r="AV5" s="428"/>
      <c r="AW5" s="428"/>
      <c r="AX5" s="428"/>
      <c r="AY5" s="428"/>
      <c r="AZ5" s="428"/>
      <c r="BA5" s="430"/>
      <c r="BB5" s="430"/>
    </row>
    <row r="6" spans="2:54" ht="18" customHeight="1" x14ac:dyDescent="0.55000000000000004">
      <c r="B6" s="435" t="s">
        <v>7</v>
      </c>
      <c r="C6" s="435"/>
      <c r="D6" s="435"/>
      <c r="E6" s="435"/>
      <c r="F6" s="435"/>
      <c r="G6" s="435"/>
      <c r="Z6" s="171"/>
      <c r="AA6" s="172"/>
      <c r="AB6" s="172"/>
      <c r="AC6" s="173"/>
      <c r="AD6" s="173"/>
      <c r="AE6" s="173"/>
      <c r="AF6" s="173"/>
      <c r="AG6" s="173"/>
      <c r="AH6" s="173"/>
      <c r="AI6" s="173"/>
      <c r="AJ6" s="173"/>
      <c r="AK6" s="173"/>
      <c r="AL6" s="173"/>
      <c r="AM6" s="173"/>
      <c r="AN6" s="173"/>
      <c r="AO6" s="173"/>
      <c r="AP6" s="173"/>
      <c r="AQ6" s="173"/>
      <c r="AR6" s="173"/>
      <c r="AS6" s="172"/>
      <c r="AT6" s="174"/>
      <c r="AU6" s="172"/>
      <c r="AV6" s="172"/>
      <c r="AW6" s="172"/>
      <c r="AX6" s="172"/>
      <c r="AY6" s="172"/>
      <c r="AZ6" s="172"/>
      <c r="BA6" s="172"/>
      <c r="BB6" s="172"/>
    </row>
    <row r="7" spans="2:54" ht="18" customHeight="1" x14ac:dyDescent="0.55000000000000004"/>
    <row r="8" spans="2:54" ht="18" customHeight="1" x14ac:dyDescent="0.55000000000000004">
      <c r="I8" s="436" t="s">
        <v>42</v>
      </c>
      <c r="J8" s="436"/>
      <c r="K8" s="436"/>
      <c r="L8" s="437" t="str">
        <f>IF(COUNTA(はじめに入力してください!H9)=0,"",はじめに入力してください!H9)</f>
        <v/>
      </c>
      <c r="M8" s="437"/>
      <c r="N8" s="437"/>
      <c r="O8" s="437"/>
      <c r="P8" s="437"/>
      <c r="Q8" s="437"/>
      <c r="R8" s="437"/>
      <c r="V8" s="189" t="s">
        <v>133</v>
      </c>
      <c r="W8" s="1" t="s">
        <v>131</v>
      </c>
    </row>
    <row r="9" spans="2:54" ht="18" customHeight="1" x14ac:dyDescent="0.55000000000000004">
      <c r="I9" s="436" t="s">
        <v>5</v>
      </c>
      <c r="J9" s="436"/>
      <c r="K9" s="436"/>
      <c r="L9" s="437" t="str">
        <f xml:space="preserve">
IF(はじめに入力してください!O3="×","",
IF(はじめに入力してください!O3="○"&amp;CHAR(10)&amp;"（個人）",はじめに入力してください!H6,
IF(はじめに入力してください!O3="○"&amp;CHAR(10)&amp;"（法人）",はじめに入力してください!H6&amp;"("&amp;はじめに入力してください!H10&amp;")",
IF(はじめに入力してください!O3="○"&amp;CHAR(10)&amp;"（公立）",はじめに入力してください!H6&amp;"("&amp;はじめに入力してください!H10&amp;")"))))</f>
        <v/>
      </c>
      <c r="M9" s="437"/>
      <c r="N9" s="437"/>
      <c r="O9" s="437"/>
      <c r="P9" s="437"/>
      <c r="Q9" s="437"/>
      <c r="R9" s="437"/>
      <c r="W9" s="1" t="s">
        <v>132</v>
      </c>
    </row>
    <row r="10" spans="2:54" ht="18" customHeight="1" x14ac:dyDescent="0.55000000000000004">
      <c r="I10" s="436" t="s">
        <v>31</v>
      </c>
      <c r="J10" s="436"/>
      <c r="K10" s="436"/>
      <c r="L10" s="438" t="str">
        <f>はじめに入力してください!H7&amp;"　"&amp;はじめに入力してください!H8</f>
        <v>　</v>
      </c>
      <c r="M10" s="438"/>
      <c r="N10" s="438"/>
      <c r="O10" s="438"/>
      <c r="P10" s="438"/>
      <c r="Q10" s="438"/>
      <c r="R10" s="438"/>
      <c r="W10" s="1" t="s">
        <v>133</v>
      </c>
      <c r="AA10" s="168"/>
      <c r="AB10" s="168"/>
      <c r="AC10" s="168"/>
      <c r="AD10" s="168"/>
      <c r="AE10" s="168"/>
      <c r="AF10" s="168"/>
      <c r="AG10" s="168"/>
    </row>
    <row r="11" spans="2:54" ht="18" customHeight="1" x14ac:dyDescent="0.55000000000000004">
      <c r="AA11" s="168"/>
      <c r="AB11" s="168"/>
      <c r="AC11" s="168"/>
      <c r="AD11" s="168"/>
      <c r="AE11" s="168"/>
      <c r="AF11" s="168"/>
      <c r="AG11" s="168"/>
    </row>
    <row r="12" spans="2:54" ht="36" customHeight="1" x14ac:dyDescent="0.55000000000000004">
      <c r="B12" s="425" t="str">
        <f xml:space="preserve">
IF(V8="交付申請","　　　　　令和４年度　新型コロナウイルス感染症検査機関等設備整備費補助金"&amp;CHAR(10)&amp;"　　　　　交付申請書",
IF(V8="変更申請","　　　　　令和４年度　新型コロナウイルス感染症検査機関等設備整備費補助金"&amp;CHAR(10)&amp;"　　　　　変更交付申請書",
IF(V8="実績報告","　　　　　令和４年度　新型コロナウイルス感染症検査機関等設備整備費補助金"&amp;CHAR(10)&amp;"　　　　　事業実績報告書")))</f>
        <v>　　　　　令和４年度　新型コロナウイルス感染症検査機関等設備整備費補助金
　　　　　事業実績報告書</v>
      </c>
      <c r="C12" s="425"/>
      <c r="D12" s="425"/>
      <c r="E12" s="425"/>
      <c r="F12" s="425"/>
      <c r="G12" s="425"/>
      <c r="H12" s="425"/>
      <c r="I12" s="425"/>
      <c r="J12" s="425"/>
      <c r="K12" s="425"/>
      <c r="L12" s="425"/>
      <c r="M12" s="425"/>
      <c r="N12" s="425"/>
      <c r="O12" s="425"/>
      <c r="P12" s="425"/>
      <c r="Q12" s="425"/>
      <c r="R12" s="425"/>
      <c r="V12" s="62"/>
    </row>
    <row r="13" spans="2:54" ht="18" customHeight="1" x14ac:dyDescent="0.55000000000000004"/>
    <row r="14" spans="2:54" ht="18" customHeight="1" x14ac:dyDescent="0.55000000000000004">
      <c r="B14" s="426" t="str">
        <f xml:space="preserve">
IF(V8="交付申請","　このことについて、下記により申請します。",
IF(V8="変更申請","　このことについて、下記により申請します。",
IF(V8="実績報告","　このことについて、下記により提出します。")))</f>
        <v>　このことについて、下記により提出します。</v>
      </c>
      <c r="C14" s="382"/>
      <c r="D14" s="382"/>
      <c r="E14" s="382"/>
      <c r="F14" s="382"/>
      <c r="G14" s="382"/>
      <c r="H14" s="382"/>
      <c r="I14" s="382"/>
      <c r="J14" s="382"/>
      <c r="K14" s="382"/>
      <c r="L14" s="382"/>
      <c r="M14" s="382"/>
      <c r="N14" s="382"/>
      <c r="O14" s="382"/>
      <c r="P14" s="382"/>
      <c r="Q14" s="382"/>
      <c r="R14" s="382"/>
      <c r="S14" s="382"/>
    </row>
    <row r="15" spans="2:54" ht="18" customHeight="1" x14ac:dyDescent="0.55000000000000004">
      <c r="B15" s="436" t="s">
        <v>10</v>
      </c>
      <c r="C15" s="436"/>
      <c r="D15" s="436"/>
      <c r="E15" s="436"/>
      <c r="F15" s="436"/>
      <c r="G15" s="436"/>
      <c r="H15" s="436"/>
      <c r="I15" s="436"/>
      <c r="J15" s="436"/>
      <c r="K15" s="436"/>
      <c r="L15" s="436"/>
      <c r="M15" s="436"/>
      <c r="N15" s="436"/>
      <c r="O15" s="436"/>
      <c r="P15" s="436"/>
      <c r="Q15" s="436"/>
      <c r="R15" s="436"/>
    </row>
    <row r="16" spans="2:54" ht="18" customHeight="1" x14ac:dyDescent="0.55000000000000004">
      <c r="B16" s="1" t="s">
        <v>32</v>
      </c>
      <c r="C16" s="10"/>
      <c r="D16" s="10"/>
      <c r="E16" s="10"/>
      <c r="F16" s="10"/>
      <c r="G16" s="10"/>
      <c r="H16" s="10"/>
      <c r="I16" s="10"/>
      <c r="J16" s="10"/>
      <c r="K16" s="10"/>
      <c r="L16" s="10"/>
      <c r="M16" s="10"/>
      <c r="N16" s="10"/>
      <c r="O16" s="10"/>
      <c r="P16" s="10"/>
      <c r="Q16" s="10"/>
      <c r="R16" s="10"/>
      <c r="V16" s="175"/>
      <c r="W16" s="165"/>
    </row>
    <row r="17" spans="2:23" ht="18" customHeight="1" x14ac:dyDescent="0.55000000000000004">
      <c r="C17" s="426" t="str">
        <f>IF(COUNTA(はじめに入力してください!H10)=0,"",はじめに入力してください!H10)</f>
        <v/>
      </c>
      <c r="D17" s="426"/>
      <c r="E17" s="426"/>
      <c r="F17" s="426"/>
      <c r="G17" s="426"/>
      <c r="H17" s="426"/>
      <c r="I17" s="426"/>
      <c r="J17" s="426"/>
      <c r="K17" s="426"/>
      <c r="L17" s="426"/>
      <c r="M17" s="426"/>
      <c r="N17" s="426"/>
      <c r="O17" s="426"/>
      <c r="P17" s="426"/>
      <c r="Q17" s="426"/>
      <c r="R17" s="426"/>
      <c r="V17" s="165"/>
      <c r="W17" s="165"/>
    </row>
    <row r="18" spans="2:23" ht="18" customHeight="1" x14ac:dyDescent="0.55000000000000004">
      <c r="C18" s="426" t="str">
        <f>IF(はじめに入力してください!H11=0,"",はじめに入力してください!H11)</f>
        <v/>
      </c>
      <c r="D18" s="426"/>
      <c r="E18" s="426"/>
      <c r="F18" s="426"/>
      <c r="G18" s="426"/>
      <c r="H18" s="426"/>
      <c r="I18" s="426"/>
      <c r="J18" s="426"/>
      <c r="K18" s="426"/>
      <c r="L18" s="426"/>
      <c r="M18" s="426"/>
      <c r="N18" s="426"/>
      <c r="O18" s="426"/>
      <c r="P18" s="426"/>
      <c r="Q18" s="426"/>
      <c r="R18" s="426"/>
      <c r="V18" s="424"/>
      <c r="W18" s="424"/>
    </row>
    <row r="19" spans="2:23" ht="18" customHeight="1" x14ac:dyDescent="0.55000000000000004">
      <c r="B19" s="1" t="str">
        <f xml:space="preserve">
IF(V8="交付申請","２　補助金申請額",
IF(V8="変更申請","２　補助額",
IF(V8="実績報告","２　補助事業の執行実績")))</f>
        <v>２　補助事業の執行実績</v>
      </c>
      <c r="V19" s="424"/>
      <c r="W19" s="424"/>
    </row>
    <row r="20" spans="2:23" ht="18" customHeight="1" x14ac:dyDescent="0.55000000000000004">
      <c r="B20" s="1" t="str">
        <f xml:space="preserve">
IF(V8="交付申請","",
IF(V8="変更申請","（１）申請額",
IF(V8="実績報告","（１）執行額")))</f>
        <v>（１）執行額</v>
      </c>
      <c r="G20" s="404" t="str">
        <f xml:space="preserve">
IF(AND(V8="交付申請",はじめに入力してください!F27="×"),"金　　　　　　　　　円",
IF(AND(V8="交付申請",はじめに入力してください!F27="○"),所要額調書!J9,
IF(AND(V8="変更申請",はじめに入力してください!F27="×"),"金　　　　　　　　　円",
IF(AND(V8="変更申請",はじめに入力してください!F27="○"),所要額調書!J9,
IF(AND(V8="実績報告",はじめに入力してください!F27="×"),"金　　　　　　　　　円",
IF(AND(V8="実績報告",はじめに入力してください!F27="○"),MIN(VLOOKUP(はじめに入力してください!L19,リスト!A:C,3,FALSE),所要額調書!J9)))))))</f>
        <v>金　　　　　　　　　円</v>
      </c>
      <c r="H20" s="405"/>
      <c r="I20" s="405"/>
      <c r="J20" s="405"/>
      <c r="K20" s="406"/>
      <c r="L20" s="146"/>
      <c r="M20" s="146"/>
      <c r="N20" s="146"/>
      <c r="O20" s="146"/>
      <c r="P20" s="146"/>
      <c r="V20" s="165"/>
      <c r="W20" s="165"/>
    </row>
    <row r="21" spans="2:23" ht="18" customHeight="1" x14ac:dyDescent="0.55000000000000004">
      <c r="B21" s="1" t="str">
        <f xml:space="preserve">
IF(V8="交付申請","",
IF(V8="変更申請","（２）既交付決定額",
IF(V8="実績報告","（２）既交付決定額")))</f>
        <v>（２）既交付決定額</v>
      </c>
      <c r="G21" s="404" t="str">
        <f xml:space="preserve">
IF(V8="交付申請","",
IF(AND(V8="変更申請",はじめに入力してください!L19=""),"金　　　　　　　　　円",
IF(AND(V8="変更申請",はじめに入力してください!L19&lt;&gt;""),VLOOKUP(はじめに入力してください!L19,リスト!A:C,3,FALSE),
IF(AND(V8="実績報告",はじめに入力してください!L19=""),"金　　　　　　　　　円",
IF(AND(V8="実績報告",はじめに入力してください!L19&lt;&gt;""),VLOOKUP(はじめに入力してください!L19,リスト!A:C,3,FALSE
))))))</f>
        <v>金　　　　　　　　　円</v>
      </c>
      <c r="H21" s="405"/>
      <c r="I21" s="405"/>
      <c r="J21" s="405"/>
      <c r="K21" s="406"/>
      <c r="L21" s="144"/>
      <c r="M21" s="144"/>
      <c r="N21" s="144"/>
      <c r="O21" s="144"/>
      <c r="P21" s="144"/>
      <c r="V21" s="165"/>
      <c r="W21" s="165"/>
    </row>
    <row r="22" spans="2:23" ht="18" customHeight="1" x14ac:dyDescent="0.55000000000000004">
      <c r="B22" s="1" t="str">
        <f xml:space="preserve">
IF(V8="交付申請","",
IF(V8="変更申請","（３）差引増減額",
IF(V8="実績報告","（３）差引増減額")))</f>
        <v>（３）差引増減額</v>
      </c>
      <c r="G22" s="407" t="str">
        <f xml:space="preserve">
IF(V8="交付申請","",
IF(AND(V8="変更申請",はじめに入力してください!L19=""),"金　　　　　　　　　円",
IF(AND(V8="変更申請",はじめに入力してください!L19&lt;&gt;""),IFERROR(G20-G21,"金　　　　　　　　　円"),
IF(AND(V8="実績報告",はじめに入力してください!L19=""),"金　　　　　　　　　円",
IF(AND(V8="実績報告",はじめに入力してください!L19&lt;&gt;""),IFERROR(G20-G21,"金　　　　　　　　　円")
)))))</f>
        <v>金　　　　　　　　　円</v>
      </c>
      <c r="H22" s="405"/>
      <c r="I22" s="405"/>
      <c r="J22" s="405"/>
      <c r="K22" s="406"/>
      <c r="L22" s="145"/>
      <c r="M22" s="145"/>
      <c r="N22" s="145"/>
      <c r="O22" s="145"/>
      <c r="P22" s="145"/>
    </row>
    <row r="23" spans="2:23" ht="18" customHeight="1" x14ac:dyDescent="0.55000000000000004">
      <c r="B23" s="1" t="str">
        <f xml:space="preserve">
IF(V8="交付申請","３　経費所要額調書（第２－１号様式）及び事業実施計画書（第２－２号様式）",
IF(V8="変更申請","３　経費所要額調書（第２－１号様式）及び事業実施計画書（第２－２号様式）",
IF(V8="実績報告","３　経費精算書（第４－１号様式）及び事業実施報告書（第４－２号様式）")))</f>
        <v>３　経費精算書（第４－１号様式）及び事業実施報告書（第４－２号様式）</v>
      </c>
    </row>
    <row r="24" spans="2:23" ht="18" customHeight="1" x14ac:dyDescent="0.55000000000000004">
      <c r="B24" s="22" t="s">
        <v>113</v>
      </c>
      <c r="C24" s="23"/>
      <c r="D24" s="23"/>
      <c r="E24" s="23"/>
      <c r="F24" s="23"/>
      <c r="G24" s="23"/>
      <c r="H24" s="23"/>
      <c r="I24" s="23"/>
      <c r="J24" s="23"/>
      <c r="K24" s="23"/>
      <c r="L24" s="23"/>
      <c r="M24" s="23"/>
    </row>
    <row r="25" spans="2:23" ht="18" customHeight="1" x14ac:dyDescent="0.55000000000000004">
      <c r="B25" s="415" t="str">
        <f xml:space="preserve">
IF(V8="交付申請","（１）歳入歳出予算書（又は見込書）抄本（第２－３号様式）",
IF(V8="変更申請","（１）歳入歳出予算書（又は見込書）抄本（第２－３号様式）",
IF(V8="実績報告","（１）歳入歳出決算書（見込書）抄本（第４－３号様式）")))</f>
        <v>（１）歳入歳出決算書（見込書）抄本（第４－３号様式）</v>
      </c>
      <c r="C25" s="415"/>
      <c r="D25" s="415"/>
      <c r="E25" s="415"/>
      <c r="F25" s="415"/>
      <c r="G25" s="415"/>
      <c r="H25" s="415"/>
      <c r="I25" s="415"/>
      <c r="J25" s="415"/>
      <c r="K25" s="415"/>
      <c r="L25" s="415"/>
      <c r="M25" s="415"/>
      <c r="N25" s="415"/>
      <c r="O25" s="415"/>
      <c r="P25" s="415"/>
      <c r="Q25" s="415"/>
      <c r="R25" s="415"/>
    </row>
    <row r="26" spans="2:23" s="21" customFormat="1" ht="30" customHeight="1" x14ac:dyDescent="0.55000000000000004">
      <c r="B26" s="412" t="str">
        <f xml:space="preserve">
IF(V8="交付申請","　（注）政令市（地域保健法（昭和22年法律第101号）第５条の政令で定める市をいう。）及び"&amp;CHAR(10)&amp;"　　公立公営検査機関に限る。予算書には、当該事業の補助対象事業に係る額を備考欄に記入すること。",
IF(V8="変更申請","　（注）政令市（地域保健法（昭和22年法律第101号）第５条の政令で定める市をいう。）及び"&amp;CHAR(10)&amp;"　　公立公営検査機関に限る。予算書には、当該事業の補助対象事業に係る額を備考欄に記入すること。",
IF(V8="実績報告","　（注）政令市（地域保健法（昭和22年法律第101号）第５条の政令で定める市をいう。）及び"&amp;CHAR(10)&amp;"　　公立公営検査機関に限る。決算書には、当該事業の補助対象事業に係る額を備考欄に記入すること。")))</f>
        <v>　（注）政令市（地域保健法（昭和22年法律第101号）第５条の政令で定める市をいう。）及び
　　公立公営検査機関に限る。決算書には、当該事業の補助対象事業に係る額を備考欄に記入すること。</v>
      </c>
      <c r="C26" s="412"/>
      <c r="D26" s="412"/>
      <c r="E26" s="412"/>
      <c r="F26" s="412"/>
      <c r="G26" s="412"/>
      <c r="H26" s="412"/>
      <c r="I26" s="412"/>
      <c r="J26" s="412"/>
      <c r="K26" s="412"/>
      <c r="L26" s="412"/>
      <c r="M26" s="412"/>
      <c r="N26" s="412"/>
      <c r="O26" s="412"/>
      <c r="P26" s="412"/>
      <c r="Q26" s="412"/>
      <c r="R26" s="412"/>
    </row>
    <row r="27" spans="2:23" s="21" customFormat="1" ht="18" customHeight="1" x14ac:dyDescent="0.55000000000000004">
      <c r="B27" s="415" t="str">
        <f xml:space="preserve">
IF(V8="交付申請","（２）その他参考となる書類（見積書、カタログ等）",
IF(V8="変更申請","（２）その他参考となる書類（見積書、カタログ等）",
IF(V8="実績報告","（２）その他参考となる書類（契約書、納品書等）")))</f>
        <v>（２）その他参考となる書類（契約書、納品書等）</v>
      </c>
      <c r="C27" s="415"/>
      <c r="D27" s="415"/>
      <c r="E27" s="415"/>
      <c r="F27" s="415"/>
      <c r="G27" s="415"/>
      <c r="H27" s="415"/>
      <c r="I27" s="415"/>
      <c r="J27" s="415"/>
      <c r="K27" s="415"/>
      <c r="L27" s="415"/>
      <c r="M27" s="415"/>
      <c r="N27" s="415"/>
      <c r="O27" s="415"/>
      <c r="P27" s="415"/>
      <c r="Q27" s="415"/>
      <c r="R27" s="415"/>
    </row>
    <row r="28" spans="2:23" ht="18" customHeight="1" x14ac:dyDescent="0.55000000000000004">
      <c r="B28" s="416" t="str">
        <f xml:space="preserve">
IF(V8="交付申請","",
IF(V8="変更申請","　（注）第２－１号様式において当初申請と異なる箇所については、変更前を下段に（）書きし、"&amp;CHAR(10)&amp;"　　変更後を上段に対応して記入すること。",
IF(V8="実績報告","")))</f>
        <v/>
      </c>
      <c r="C28" s="417"/>
      <c r="D28" s="417"/>
      <c r="E28" s="417"/>
      <c r="F28" s="417"/>
      <c r="G28" s="417"/>
      <c r="H28" s="417"/>
      <c r="I28" s="417"/>
      <c r="J28" s="417"/>
      <c r="K28" s="417"/>
      <c r="L28" s="417"/>
      <c r="M28" s="417"/>
      <c r="N28" s="417"/>
      <c r="O28" s="417"/>
      <c r="P28" s="417"/>
      <c r="Q28" s="417"/>
      <c r="R28" s="417"/>
    </row>
    <row r="29" spans="2:23" ht="18" customHeight="1" x14ac:dyDescent="0.55000000000000004">
      <c r="B29" s="417"/>
      <c r="C29" s="417"/>
      <c r="D29" s="417"/>
      <c r="E29" s="417"/>
      <c r="F29" s="417"/>
      <c r="G29" s="417"/>
      <c r="H29" s="417"/>
      <c r="I29" s="417"/>
      <c r="J29" s="417"/>
      <c r="K29" s="417"/>
      <c r="L29" s="417"/>
      <c r="M29" s="417"/>
      <c r="N29" s="417"/>
      <c r="O29" s="417"/>
      <c r="P29" s="417"/>
      <c r="Q29" s="417"/>
      <c r="R29" s="417"/>
    </row>
    <row r="30" spans="2:23" ht="18" customHeight="1" x14ac:dyDescent="0.55000000000000004">
      <c r="B30" s="418" t="str">
        <f xml:space="preserve">
IF(V8="交付申請","【申請にあたっての申立事項】",
IF(V8="変更申請","",
IF(V8="実績報告","")))</f>
        <v/>
      </c>
      <c r="C30" s="419"/>
      <c r="D30" s="419"/>
      <c r="E30" s="419"/>
      <c r="F30" s="419"/>
      <c r="G30" s="419"/>
      <c r="H30" s="419"/>
      <c r="I30" s="419"/>
      <c r="J30" s="419"/>
      <c r="K30" s="419"/>
      <c r="L30" s="419"/>
      <c r="M30" s="419"/>
      <c r="N30" s="419"/>
      <c r="O30" s="419"/>
      <c r="P30" s="419"/>
      <c r="Q30" s="419"/>
      <c r="R30" s="419"/>
    </row>
    <row r="31" spans="2:23" ht="18" customHeight="1" x14ac:dyDescent="0.55000000000000004">
      <c r="B31" s="420" t="str">
        <f xml:space="preserve">
IF(AND(V8="実績報告",はじめに入力してください!O21="×"),"",
IF(AND(V8="実績報告",はじめに入力してください!O21="○"),"",
IF(AND(V8="変更申請",はじめに入力してください!O21="×"),"",
IF(AND(V8="変更申請",はじめに入力してください!O21="○"),"",
IF(AND(V8="交付申請",はじめに入力してください!O21="×"),U31,
IF(AND(V8="交付申請",はじめに入力してください!O21="○"),U32))))))</f>
        <v/>
      </c>
      <c r="C31" s="421"/>
      <c r="D31" s="421"/>
      <c r="E31" s="421"/>
      <c r="F31" s="421"/>
      <c r="G31" s="421"/>
      <c r="H31" s="421"/>
      <c r="I31" s="421"/>
      <c r="J31" s="421"/>
      <c r="K31" s="421"/>
      <c r="L31" s="421"/>
      <c r="M31" s="421"/>
      <c r="N31" s="421"/>
      <c r="O31" s="421"/>
      <c r="P31" s="421"/>
      <c r="Q31" s="421"/>
      <c r="R31" s="421"/>
      <c r="U31" s="44" t="s">
        <v>163</v>
      </c>
    </row>
    <row r="32" spans="2:23" ht="18" customHeight="1" x14ac:dyDescent="0.55000000000000004">
      <c r="B32" s="421"/>
      <c r="C32" s="421"/>
      <c r="D32" s="421"/>
      <c r="E32" s="421"/>
      <c r="F32" s="421"/>
      <c r="G32" s="421"/>
      <c r="H32" s="421"/>
      <c r="I32" s="421"/>
      <c r="J32" s="421"/>
      <c r="K32" s="421"/>
      <c r="L32" s="421"/>
      <c r="M32" s="421"/>
      <c r="N32" s="421"/>
      <c r="O32" s="421"/>
      <c r="P32" s="421"/>
      <c r="Q32" s="421"/>
      <c r="R32" s="421"/>
      <c r="U32" s="44" t="s">
        <v>164</v>
      </c>
    </row>
    <row r="33" spans="2:18" ht="18" customHeight="1" x14ac:dyDescent="0.55000000000000004">
      <c r="B33" s="421"/>
      <c r="C33" s="421"/>
      <c r="D33" s="421"/>
      <c r="E33" s="421"/>
      <c r="F33" s="421"/>
      <c r="G33" s="421"/>
      <c r="H33" s="421"/>
      <c r="I33" s="421"/>
      <c r="J33" s="421"/>
      <c r="K33" s="421"/>
      <c r="L33" s="421"/>
      <c r="M33" s="421"/>
      <c r="N33" s="421"/>
      <c r="O33" s="421"/>
      <c r="P33" s="421"/>
      <c r="Q33" s="421"/>
      <c r="R33" s="421"/>
    </row>
    <row r="34" spans="2:18" ht="18" customHeight="1" x14ac:dyDescent="0.55000000000000004">
      <c r="B34" s="421"/>
      <c r="C34" s="421"/>
      <c r="D34" s="421"/>
      <c r="E34" s="421"/>
      <c r="F34" s="421"/>
      <c r="G34" s="421"/>
      <c r="H34" s="421"/>
      <c r="I34" s="421"/>
      <c r="J34" s="421"/>
      <c r="K34" s="421"/>
      <c r="L34" s="421"/>
      <c r="M34" s="421"/>
      <c r="N34" s="421"/>
      <c r="O34" s="421"/>
      <c r="P34" s="421"/>
      <c r="Q34" s="421"/>
      <c r="R34" s="421"/>
    </row>
    <row r="35" spans="2:18" ht="18" customHeight="1" x14ac:dyDescent="0.55000000000000004">
      <c r="B35" s="421"/>
      <c r="C35" s="421"/>
      <c r="D35" s="421"/>
      <c r="E35" s="421"/>
      <c r="F35" s="421"/>
      <c r="G35" s="421"/>
      <c r="H35" s="421"/>
      <c r="I35" s="421"/>
      <c r="J35" s="421"/>
      <c r="K35" s="421"/>
      <c r="L35" s="421"/>
      <c r="M35" s="421"/>
      <c r="N35" s="421"/>
      <c r="O35" s="421"/>
      <c r="P35" s="421"/>
      <c r="Q35" s="421"/>
      <c r="R35" s="421"/>
    </row>
    <row r="36" spans="2:18" ht="18" customHeight="1" x14ac:dyDescent="0.55000000000000004">
      <c r="B36" s="421"/>
      <c r="C36" s="421"/>
      <c r="D36" s="421"/>
      <c r="E36" s="421"/>
      <c r="F36" s="421"/>
      <c r="G36" s="421"/>
      <c r="H36" s="421"/>
      <c r="I36" s="421"/>
      <c r="J36" s="421"/>
      <c r="K36" s="421"/>
      <c r="L36" s="421"/>
      <c r="M36" s="421"/>
      <c r="N36" s="421"/>
      <c r="O36" s="421"/>
      <c r="P36" s="421"/>
      <c r="Q36" s="421"/>
      <c r="R36" s="421"/>
    </row>
    <row r="37" spans="2:18" ht="18" customHeight="1" x14ac:dyDescent="0.55000000000000004">
      <c r="B37" s="421"/>
      <c r="C37" s="421"/>
      <c r="D37" s="421"/>
      <c r="E37" s="421"/>
      <c r="F37" s="421"/>
      <c r="G37" s="421"/>
      <c r="H37" s="421"/>
      <c r="I37" s="421"/>
      <c r="J37" s="421"/>
      <c r="K37" s="421"/>
      <c r="L37" s="421"/>
      <c r="M37" s="421"/>
      <c r="N37" s="421"/>
      <c r="O37" s="421"/>
      <c r="P37" s="421"/>
      <c r="Q37" s="421"/>
      <c r="R37" s="421"/>
    </row>
    <row r="38" spans="2:18" ht="18" customHeight="1" x14ac:dyDescent="0.55000000000000004">
      <c r="B38" s="58"/>
      <c r="C38" s="58"/>
      <c r="D38" s="58"/>
      <c r="E38" s="58"/>
      <c r="F38" s="58"/>
      <c r="G38" s="58"/>
      <c r="H38" s="58"/>
      <c r="I38" s="58"/>
      <c r="J38" s="58"/>
      <c r="K38" s="58"/>
      <c r="L38" s="58"/>
      <c r="M38" s="58"/>
      <c r="N38" s="58"/>
      <c r="O38" s="58"/>
      <c r="P38" s="58"/>
      <c r="Q38" s="58"/>
      <c r="R38" s="58"/>
    </row>
    <row r="39" spans="2:18" ht="18" customHeight="1" x14ac:dyDescent="0.55000000000000004">
      <c r="J39" s="413" t="s">
        <v>13</v>
      </c>
      <c r="K39" s="413"/>
      <c r="L39" s="414" t="str">
        <f>IF(はじめに入力してください!H15=0,"",はじめに入力してください!H15)</f>
        <v/>
      </c>
      <c r="M39" s="414"/>
      <c r="N39" s="414"/>
      <c r="O39" s="414"/>
      <c r="P39" s="414"/>
      <c r="Q39" s="414"/>
      <c r="R39" s="414"/>
    </row>
    <row r="40" spans="2:18" ht="18" customHeight="1" x14ac:dyDescent="0.55000000000000004">
      <c r="J40" s="413" t="s">
        <v>14</v>
      </c>
      <c r="K40" s="413"/>
      <c r="L40" s="414" t="str">
        <f>IF(はじめに入力してください!H16=0,"",はじめに入力してください!H16)</f>
        <v/>
      </c>
      <c r="M40" s="414"/>
      <c r="N40" s="414"/>
      <c r="O40" s="414"/>
      <c r="P40" s="414"/>
      <c r="Q40" s="414"/>
      <c r="R40" s="414"/>
    </row>
    <row r="41" spans="2:18" ht="18" customHeight="1" x14ac:dyDescent="0.55000000000000004">
      <c r="J41" s="413" t="s">
        <v>15</v>
      </c>
      <c r="K41" s="413"/>
      <c r="L41" s="414" t="str">
        <f>IF(はじめに入力してください!H17=0,"",はじめに入力してください!H17)</f>
        <v/>
      </c>
      <c r="M41" s="414"/>
      <c r="N41" s="414"/>
      <c r="O41" s="414"/>
      <c r="P41" s="414"/>
      <c r="Q41" s="414"/>
      <c r="R41" s="414"/>
    </row>
    <row r="42" spans="2:18" ht="18" customHeight="1" x14ac:dyDescent="0.55000000000000004">
      <c r="J42" s="413" t="s">
        <v>16</v>
      </c>
      <c r="K42" s="413"/>
      <c r="L42" s="414" t="str">
        <f>IF(はじめに入力してください!H18=0,"",はじめに入力してください!H18)</f>
        <v/>
      </c>
      <c r="M42" s="414"/>
      <c r="N42" s="414"/>
      <c r="O42" s="414"/>
      <c r="P42" s="414"/>
      <c r="Q42" s="414"/>
      <c r="R42" s="414"/>
    </row>
    <row r="50" spans="39:42" ht="30" customHeight="1" x14ac:dyDescent="0.55000000000000004">
      <c r="AM50" s="129"/>
      <c r="AN50" s="130"/>
      <c r="AO50" s="130"/>
      <c r="AP50" s="131"/>
    </row>
    <row r="51" spans="39:42" ht="30" customHeight="1" x14ac:dyDescent="0.55000000000000004">
      <c r="AM51" s="132"/>
      <c r="AN51" s="133"/>
      <c r="AO51" s="133"/>
      <c r="AP51" s="134"/>
    </row>
    <row r="52" spans="39:42" ht="27" customHeight="1" x14ac:dyDescent="0.6">
      <c r="AM52" s="161"/>
      <c r="AN52" s="439"/>
      <c r="AO52" s="440"/>
      <c r="AP52" s="163"/>
    </row>
    <row r="53" spans="39:42" ht="27" customHeight="1" x14ac:dyDescent="0.6">
      <c r="AM53" s="164"/>
      <c r="AN53" s="439" t="str">
        <f>はじめに入力してください!AE19</f>
        <v>検査第号</v>
      </c>
      <c r="AO53" s="441"/>
      <c r="AP53" s="163"/>
    </row>
    <row r="54" spans="39:42" ht="25" customHeight="1" x14ac:dyDescent="0.55000000000000004">
      <c r="AM54" s="164"/>
      <c r="AN54" s="162"/>
      <c r="AO54" s="162"/>
      <c r="AP54" s="163"/>
    </row>
    <row r="55" spans="39:42" ht="30" customHeight="1" x14ac:dyDescent="0.55000000000000004">
      <c r="AM55" s="135"/>
      <c r="AN55" s="136"/>
      <c r="AO55" s="136"/>
      <c r="AP55" s="137"/>
    </row>
    <row r="56" spans="39:42" ht="20.149999999999999" customHeight="1" x14ac:dyDescent="0.55000000000000004">
      <c r="AM56" s="138"/>
      <c r="AN56" s="139"/>
      <c r="AO56" s="139"/>
      <c r="AP56" s="140"/>
    </row>
  </sheetData>
  <sheetProtection algorithmName="SHA-512" hashValue="djU29GzCyEpWWcsXBg3jnofpDxRQ5qLV5OznGmUqtztr2DUswfveAyG2KbavYSG+qxXXElx69o53kTxx97IvHw==" saltValue="iGdMA4QM7nyhKtjBsW1Eug==" spinCount="100000" sheet="1" formatCells="0" formatColumns="0" formatRows="0"/>
  <mergeCells count="62">
    <mergeCell ref="AN52:AO52"/>
    <mergeCell ref="AN53:AO53"/>
    <mergeCell ref="AJ4:AJ5"/>
    <mergeCell ref="AI4:AI5"/>
    <mergeCell ref="AH4:AH5"/>
    <mergeCell ref="AK4:AL4"/>
    <mergeCell ref="AC4:AC5"/>
    <mergeCell ref="AA4:AA5"/>
    <mergeCell ref="AB4:AB5"/>
    <mergeCell ref="N5:Q5"/>
    <mergeCell ref="B25:R25"/>
    <mergeCell ref="N4:Q4"/>
    <mergeCell ref="B6:G6"/>
    <mergeCell ref="B15:R15"/>
    <mergeCell ref="L8:R8"/>
    <mergeCell ref="L9:R9"/>
    <mergeCell ref="L10:R10"/>
    <mergeCell ref="I8:K8"/>
    <mergeCell ref="I9:K9"/>
    <mergeCell ref="I10:K10"/>
    <mergeCell ref="C17:R17"/>
    <mergeCell ref="C18:R18"/>
    <mergeCell ref="BB4:BB5"/>
    <mergeCell ref="BA4:BA5"/>
    <mergeCell ref="AZ4:AZ5"/>
    <mergeCell ref="AY4:AY5"/>
    <mergeCell ref="AX4:AX5"/>
    <mergeCell ref="AW4:AW5"/>
    <mergeCell ref="AV4:AV5"/>
    <mergeCell ref="AU4:AU5"/>
    <mergeCell ref="AT4:AT5"/>
    <mergeCell ref="AS4:AS5"/>
    <mergeCell ref="B27:R27"/>
    <mergeCell ref="B28:R29"/>
    <mergeCell ref="B30:R30"/>
    <mergeCell ref="B31:R37"/>
    <mergeCell ref="AR4:AR5"/>
    <mergeCell ref="AO4:AO5"/>
    <mergeCell ref="AM4:AN4"/>
    <mergeCell ref="AP4:AQ4"/>
    <mergeCell ref="Z4:Z5"/>
    <mergeCell ref="V18:W19"/>
    <mergeCell ref="B12:R12"/>
    <mergeCell ref="B14:S14"/>
    <mergeCell ref="AG4:AG5"/>
    <mergeCell ref="AF4:AF5"/>
    <mergeCell ref="AE4:AE5"/>
    <mergeCell ref="AD4:AD5"/>
    <mergeCell ref="J42:K42"/>
    <mergeCell ref="L39:R39"/>
    <mergeCell ref="L40:R40"/>
    <mergeCell ref="L41:R41"/>
    <mergeCell ref="L42:R42"/>
    <mergeCell ref="J41:K41"/>
    <mergeCell ref="J39:K39"/>
    <mergeCell ref="J40:K40"/>
    <mergeCell ref="G21:K21"/>
    <mergeCell ref="G22:K22"/>
    <mergeCell ref="Q2:S2"/>
    <mergeCell ref="O2:P2"/>
    <mergeCell ref="B26:R26"/>
    <mergeCell ref="G20:K20"/>
  </mergeCells>
  <phoneticPr fontId="1"/>
  <conditionalFormatting sqref="G20:G22 L22:P22">
    <cfRule type="containsText" dxfId="29" priority="1" operator="containsText" text="不備">
      <formula>NOT(ISERROR(SEARCH("不備",G20)))</formula>
    </cfRule>
  </conditionalFormatting>
  <dataValidations count="1">
    <dataValidation type="list" allowBlank="1" showInputMessage="1" showErrorMessage="1" sqref="V8" xr:uid="{00000000-0002-0000-0400-000000000000}">
      <formula1>$W$8:$W$10</formula1>
    </dataValidation>
  </dataValidations>
  <printOptions horizontalCentered="1"/>
  <pageMargins left="0.59055118110236227" right="0.39370078740157483" top="0.39370078740157483" bottom="0.39370078740157483" header="0.31496062992125984" footer="0.31496062992125984"/>
  <pageSetup paperSize="9" scale="9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O14"/>
  <sheetViews>
    <sheetView showGridLines="0" view="pageBreakPreview" zoomScale="70" zoomScaleNormal="100" zoomScaleSheetLayoutView="70" workbookViewId="0">
      <pane xSplit="1" ySplit="6" topLeftCell="B7" activePane="bottomRight" state="frozen"/>
      <selection activeCell="N3" sqref="N3:Q3"/>
      <selection pane="topRight" activeCell="N3" sqref="N3:Q3"/>
      <selection pane="bottomLeft" activeCell="N3" sqref="N3:Q3"/>
      <selection pane="bottomRight" activeCell="I7" sqref="I7"/>
    </sheetView>
  </sheetViews>
  <sheetFormatPr defaultColWidth="9" defaultRowHeight="18" x14ac:dyDescent="0.55000000000000004"/>
  <cols>
    <col min="1" max="1" width="2.58203125" style="76" customWidth="1"/>
    <col min="2" max="2" width="20.58203125" style="76" customWidth="1"/>
    <col min="3" max="10" width="15.58203125" style="76" customWidth="1"/>
    <col min="11" max="11" width="11.08203125" style="76" customWidth="1"/>
    <col min="12" max="13" width="2.58203125" style="76" customWidth="1"/>
    <col min="14" max="14" width="15" style="76" customWidth="1"/>
    <col min="15" max="15" width="12.75" style="120" customWidth="1"/>
    <col min="16" max="16384" width="9" style="76"/>
  </cols>
  <sheetData>
    <row r="1" spans="2:15" ht="25" customHeight="1" x14ac:dyDescent="0.55000000000000004">
      <c r="B1" s="76" t="str">
        <f xml:space="preserve">
IF(表紙!V8="交付申請","第２－１号様式",
IF(表紙!V8="変更申請","第２－１号様式",
IF(表紙!V8="実績報告","第４－１号様式")))</f>
        <v>第４－１号様式</v>
      </c>
      <c r="J1" s="186"/>
      <c r="K1" s="446" t="str">
        <f>IF(はじめに入力してください!L19="","",はじめに入力してください!L19)</f>
        <v/>
      </c>
      <c r="L1" s="447"/>
    </row>
    <row r="2" spans="2:15" ht="25" customHeight="1" x14ac:dyDescent="0.55000000000000004">
      <c r="B2" s="451" t="str">
        <f xml:space="preserve">
IF(表紙!V8="交付申請","令和４年度　新型コロナウイルス感染症検査機関等設備整備費補助金経費所要額調書",
IF(表紙!V8="変更申請","令和４年度　新型コロナウイルス感染症検査機関等設備整備費補助金経費所要額調書",
IF(表紙!V8="実績報告","令和４年度　新型コロナウイルス感染症検査機関等設備整備費補助金経費精算書")))</f>
        <v>令和４年度　新型コロナウイルス感染症検査機関等設備整備費補助金経費精算書</v>
      </c>
      <c r="C2" s="451"/>
      <c r="D2" s="451"/>
      <c r="E2" s="451"/>
      <c r="F2" s="451"/>
      <c r="G2" s="451"/>
      <c r="H2" s="451"/>
      <c r="I2" s="451"/>
      <c r="J2" s="451"/>
      <c r="K2" s="451"/>
    </row>
    <row r="3" spans="2:15" ht="25" customHeight="1" x14ac:dyDescent="0.55000000000000004">
      <c r="B3" s="121"/>
      <c r="C3" s="121"/>
      <c r="D3" s="121"/>
      <c r="E3" s="121"/>
      <c r="F3" s="121"/>
      <c r="H3" s="86" t="s">
        <v>39</v>
      </c>
      <c r="I3" s="448" t="str">
        <f>IF(表紙!C17="","",表紙!C17)</f>
        <v/>
      </c>
      <c r="J3" s="449"/>
      <c r="K3" s="27"/>
    </row>
    <row r="4" spans="2:15" ht="25" customHeight="1" x14ac:dyDescent="0.55000000000000004">
      <c r="B4" s="92"/>
      <c r="C4" s="92"/>
      <c r="D4" s="92"/>
      <c r="E4" s="92"/>
      <c r="F4" s="92"/>
      <c r="H4" s="122" t="str">
        <f xml:space="preserve">
IF(表紙!V8="交付申請","事業完了予定日",
IF(表紙!V8="変更申請","事業完了予定日",
IF(表紙!V8="実績報告","事業完了日")))</f>
        <v>事業完了日</v>
      </c>
      <c r="I4" s="450" t="str">
        <f>IF(COUNTA(はじめに入力してください!I13,はじめに入力してください!K13,はじめに入力してください!M13)&lt;&gt;3,"",DATE(はじめに入力してください!AG14,はじめに入力してください!AH14,はじめに入力してください!AI14))</f>
        <v/>
      </c>
      <c r="J4" s="450"/>
      <c r="K4" s="123" t="s">
        <v>165</v>
      </c>
    </row>
    <row r="5" spans="2:15" ht="60" customHeight="1" x14ac:dyDescent="0.55000000000000004">
      <c r="B5" s="124" t="s">
        <v>114</v>
      </c>
      <c r="C5" s="124" t="s">
        <v>43</v>
      </c>
      <c r="D5" s="124" t="str">
        <f xml:space="preserve">
IF(表紙!V8="交付申請","寄付金その他の"&amp;CHAR(10)&amp;"収入予定額"&amp;CHAR(10)&amp;"(B)",
IF(表紙!V8="変更申請","寄付金その他の"&amp;CHAR(10)&amp;"収入予定額"&amp;CHAR(10)&amp;"(B)",
IF(表紙!V8="実績報告","寄付金その他の"&amp;CHAR(10)&amp;"収入済額"&amp;CHAR(10)&amp;"(B)")))</f>
        <v>寄付金その他の
収入済額
(B)</v>
      </c>
      <c r="E5" s="124" t="s">
        <v>2</v>
      </c>
      <c r="F5" s="124" t="str">
        <f xml:space="preserve">
IF(表紙!V8="交付申請","対象経費"&amp;CHAR(10)&amp;"支出予定額"&amp;CHAR(10)&amp;"(D)",
IF(表紙!V8="変更申請","対象経費"&amp;CHAR(10)&amp;"支出予定額"&amp;CHAR(10)&amp;"(D)",
IF(表紙!V8="実績報告","対象経費"&amp;CHAR(10)&amp;"支出済額"&amp;CHAR(10)&amp;"(D)")))</f>
        <v>対象経費
支出済額
(D)</v>
      </c>
      <c r="G5" s="124" t="s">
        <v>44</v>
      </c>
      <c r="H5" s="124" t="s">
        <v>45</v>
      </c>
      <c r="I5" s="124" t="s">
        <v>40</v>
      </c>
      <c r="J5" s="124" t="s">
        <v>1</v>
      </c>
      <c r="K5" s="124" t="s">
        <v>41</v>
      </c>
    </row>
    <row r="6" spans="2:15" ht="20.149999999999999" hidden="1" customHeight="1" x14ac:dyDescent="0.55000000000000004">
      <c r="B6" s="125"/>
      <c r="C6" s="126" t="s">
        <v>0</v>
      </c>
      <c r="D6" s="126" t="s">
        <v>0</v>
      </c>
      <c r="E6" s="126" t="s">
        <v>0</v>
      </c>
      <c r="F6" s="126" t="s">
        <v>0</v>
      </c>
      <c r="G6" s="126" t="s">
        <v>0</v>
      </c>
      <c r="H6" s="126" t="s">
        <v>0</v>
      </c>
      <c r="I6" s="126" t="s">
        <v>0</v>
      </c>
      <c r="J6" s="126" t="s">
        <v>0</v>
      </c>
      <c r="K6" s="127"/>
    </row>
    <row r="7" spans="2:15" ht="30" customHeight="1" x14ac:dyDescent="0.55000000000000004">
      <c r="B7" s="443" t="s">
        <v>115</v>
      </c>
      <c r="C7" s="142">
        <f>実施計画書!Z23</f>
        <v>0</v>
      </c>
      <c r="D7" s="203">
        <v>0</v>
      </c>
      <c r="E7" s="142">
        <f>C7-D7</f>
        <v>0</v>
      </c>
      <c r="F7" s="142">
        <f>E7</f>
        <v>0</v>
      </c>
      <c r="G7" s="142">
        <f>E7</f>
        <v>0</v>
      </c>
      <c r="H7" s="142">
        <f>E7</f>
        <v>0</v>
      </c>
      <c r="I7" s="142">
        <f>E7</f>
        <v>0</v>
      </c>
      <c r="J7" s="143">
        <f>ROUNDDOWN(I7,-3)</f>
        <v>0</v>
      </c>
      <c r="K7" s="443" t="str">
        <f xml:space="preserve">
IF(表紙!V8="交付申請","内訳は"&amp;CHAR(10)&amp;"第２－２号様式"&amp;CHAR(10)&amp;"のとおり",
IF(表紙!V8="変更申請","内訳は"&amp;CHAR(10)&amp;"第２－２号様式"&amp;CHAR(10)&amp;"のとおり",
IF(表紙!V8="実績報告","内訳は"&amp;CHAR(10)&amp;"第４－２号様式"&amp;CHAR(10)&amp;"のとおり")))</f>
        <v>内訳は
第４－２号様式
のとおり</v>
      </c>
    </row>
    <row r="8" spans="2:15" ht="30" customHeight="1" x14ac:dyDescent="0.55000000000000004">
      <c r="B8" s="452"/>
      <c r="C8" s="157" t="str">
        <f>IF(表紙!V8="変更申請",VLOOKUP(はじめに入力してください!L19,リスト!A:W,5,FALSE),"")</f>
        <v/>
      </c>
      <c r="D8" s="204" t="str">
        <f>IF(表紙!V8="変更申請",VLOOKUP(はじめに入力してください!L19,リスト!A:W,6,FALSE),"")</f>
        <v/>
      </c>
      <c r="E8" s="157" t="str">
        <f>IF(表紙!V8="変更申請",VLOOKUP(はじめに入力してください!L19,リスト!A:W,7,FALSE),"")</f>
        <v/>
      </c>
      <c r="F8" s="157" t="str">
        <f>IF(表紙!V8="変更申請",VLOOKUP(はじめに入力してください!L19,リスト!A:W,8,FALSE),"")</f>
        <v/>
      </c>
      <c r="G8" s="157" t="str">
        <f>IF(表紙!V8="変更申請",VLOOKUP(はじめに入力してください!L19,リスト!A:W,9,FALSE),"")</f>
        <v/>
      </c>
      <c r="H8" s="157" t="str">
        <f>IF(表紙!V8="変更申請",VLOOKUP(はじめに入力してください!L19,リスト!A:W,10,FALSE),"")</f>
        <v/>
      </c>
      <c r="I8" s="157" t="str">
        <f>IF(表紙!V8="変更申請",VLOOKUP(はじめに入力してください!L19,リスト!A:W,11,FALSE),"")</f>
        <v/>
      </c>
      <c r="J8" s="158" t="str">
        <f>IF(表紙!V8="変更申請",VLOOKUP(はじめに入力してください!L19,リスト!A:W,12,FALSE),"")</f>
        <v/>
      </c>
      <c r="K8" s="444"/>
      <c r="N8" s="92"/>
      <c r="O8" s="128"/>
    </row>
    <row r="9" spans="2:15" ht="30" customHeight="1" x14ac:dyDescent="0.55000000000000004">
      <c r="B9" s="442" t="s">
        <v>3</v>
      </c>
      <c r="C9" s="142">
        <f>C7</f>
        <v>0</v>
      </c>
      <c r="D9" s="142">
        <f t="shared" ref="D9:J9" si="0">D7</f>
        <v>0</v>
      </c>
      <c r="E9" s="142">
        <f t="shared" si="0"/>
        <v>0</v>
      </c>
      <c r="F9" s="142">
        <f t="shared" si="0"/>
        <v>0</v>
      </c>
      <c r="G9" s="142">
        <f t="shared" si="0"/>
        <v>0</v>
      </c>
      <c r="H9" s="142">
        <f t="shared" si="0"/>
        <v>0</v>
      </c>
      <c r="I9" s="142">
        <f t="shared" si="0"/>
        <v>0</v>
      </c>
      <c r="J9" s="143">
        <f t="shared" si="0"/>
        <v>0</v>
      </c>
      <c r="K9" s="444"/>
      <c r="O9" s="76"/>
    </row>
    <row r="10" spans="2:15" ht="30" customHeight="1" x14ac:dyDescent="0.55000000000000004">
      <c r="B10" s="386"/>
      <c r="C10" s="157" t="str">
        <f>C8</f>
        <v/>
      </c>
      <c r="D10" s="157" t="str">
        <f t="shared" ref="D10:J10" si="1">D8</f>
        <v/>
      </c>
      <c r="E10" s="157" t="str">
        <f t="shared" si="1"/>
        <v/>
      </c>
      <c r="F10" s="157" t="str">
        <f t="shared" si="1"/>
        <v/>
      </c>
      <c r="G10" s="157" t="str">
        <f t="shared" si="1"/>
        <v/>
      </c>
      <c r="H10" s="157" t="str">
        <f t="shared" si="1"/>
        <v/>
      </c>
      <c r="I10" s="157" t="str">
        <f t="shared" si="1"/>
        <v/>
      </c>
      <c r="J10" s="157" t="str">
        <f t="shared" si="1"/>
        <v/>
      </c>
      <c r="K10" s="445"/>
      <c r="O10" s="76"/>
    </row>
    <row r="11" spans="2:15" ht="21.75" customHeight="1" x14ac:dyDescent="0.55000000000000004">
      <c r="B11" s="76" t="s">
        <v>4</v>
      </c>
      <c r="O11" s="76"/>
    </row>
    <row r="12" spans="2:15" ht="20.149999999999999" customHeight="1" x14ac:dyDescent="0.55000000000000004">
      <c r="O12" s="76"/>
    </row>
    <row r="13" spans="2:15" ht="20.149999999999999" customHeight="1" x14ac:dyDescent="0.55000000000000004">
      <c r="O13" s="76"/>
    </row>
    <row r="14" spans="2:15" ht="20.149999999999999" customHeight="1" x14ac:dyDescent="0.55000000000000004">
      <c r="O14" s="76"/>
    </row>
  </sheetData>
  <sheetProtection algorithmName="SHA-512" hashValue="Hmzi6xheD05VLz2yHQv0q6nMbWO8M9I6nEdJAQXcalOC/gYbDIZGAWVHH0KmpJz9ObPYdatB5sPSCBdr7gFsnA==" saltValue="gzcfi2m/dDPTEBKVBYehKg==" spinCount="100000" sheet="1" objects="1" scenarios="1"/>
  <mergeCells count="7">
    <mergeCell ref="B9:B10"/>
    <mergeCell ref="K7:K10"/>
    <mergeCell ref="K1:L1"/>
    <mergeCell ref="I3:J3"/>
    <mergeCell ref="I4:J4"/>
    <mergeCell ref="B2:K2"/>
    <mergeCell ref="B7:B8"/>
  </mergeCells>
  <phoneticPr fontId="1"/>
  <dataValidations count="1">
    <dataValidation allowBlank="1" showInputMessage="1" showErrorMessage="1" promptTitle="「寄付金その他の収入予定額（B）」欄について" prompt="本補助金で申請した「総事業費（A）」に対して、本補助金以外の寄付金やその他の収入を充てている場合はその金額を、ない場合は「0」円を入力してください。 _x000a_" sqref="D7:D8" xr:uid="{00000000-0002-0000-0500-000000000000}"/>
  </dataValidations>
  <printOptions horizontalCentered="1"/>
  <pageMargins left="0.59055118110236227" right="0.39370078740157483" top="0.98425196850393704" bottom="0.39370078740157483" header="0.31496062992125984" footer="0.31496062992125984"/>
  <pageSetup paperSize="9" scale="77" fitToWidth="0"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CI93"/>
  <sheetViews>
    <sheetView showGridLines="0" view="pageBreakPreview" zoomScale="60" zoomScaleNormal="100" workbookViewId="0">
      <pane ySplit="3" topLeftCell="A4" activePane="bottomLeft" state="frozen"/>
      <selection pane="bottomLeft" activeCell="Q15" sqref="Q15:S16"/>
    </sheetView>
  </sheetViews>
  <sheetFormatPr defaultColWidth="9" defaultRowHeight="20" x14ac:dyDescent="0.55000000000000004"/>
  <cols>
    <col min="1" max="1" width="2.58203125" style="15" customWidth="1"/>
    <col min="2" max="37" width="3.58203125" style="15" customWidth="1"/>
    <col min="38" max="38" width="2.58203125" style="15" customWidth="1"/>
    <col min="39" max="40" width="10.58203125" style="15" customWidth="1"/>
    <col min="41" max="46" width="10.58203125" style="59" customWidth="1"/>
    <col min="47" max="65" width="9" style="59" customWidth="1"/>
    <col min="66" max="66" width="9" style="15" customWidth="1"/>
    <col min="67" max="67" width="9" style="16"/>
    <col min="68" max="72" width="9" style="15"/>
    <col min="73" max="73" width="75.58203125" style="15" customWidth="1"/>
    <col min="74" max="76" width="9" style="15"/>
    <col min="77" max="77" width="30.58203125" style="15" customWidth="1"/>
    <col min="78" max="79" width="12.58203125" style="15" customWidth="1"/>
    <col min="80" max="83" width="15.58203125" style="15" customWidth="1"/>
    <col min="84" max="84" width="60.58203125" style="15" customWidth="1"/>
    <col min="85" max="85" width="17.33203125" style="15" bestFit="1" customWidth="1"/>
    <col min="86" max="86" width="150.58203125" style="15" customWidth="1"/>
    <col min="87" max="87" width="25.58203125" style="15" customWidth="1"/>
    <col min="88" max="16384" width="9" style="15"/>
  </cols>
  <sheetData>
    <row r="1" spans="2:83" ht="60" customHeight="1" x14ac:dyDescent="0.55000000000000004"/>
    <row r="2" spans="2:83" ht="26.5" x14ac:dyDescent="0.55000000000000004">
      <c r="B2" s="535" t="str">
        <f xml:space="preserve">
IF(表紙!V8="交付申請","第２－２号様式",
IF(表紙!V8="変更申請","第２－２号様式",
IF(表紙!V8="実績報告","第４－２号様式")))</f>
        <v>第４－２号様式</v>
      </c>
      <c r="C2" s="535"/>
      <c r="D2" s="535"/>
      <c r="E2" s="535"/>
      <c r="F2" s="535"/>
      <c r="G2" s="535"/>
      <c r="AE2" s="602"/>
      <c r="AF2" s="381"/>
      <c r="AG2" s="381"/>
      <c r="AH2" s="381"/>
      <c r="AI2" s="600" t="str">
        <f>IF(はじめに入力してください!L19="","",はじめに入力してください!L19)</f>
        <v/>
      </c>
      <c r="AJ2" s="601"/>
      <c r="AK2" s="601"/>
      <c r="AL2" s="601"/>
    </row>
    <row r="3" spans="2:83" ht="29" x14ac:dyDescent="0.55000000000000004">
      <c r="B3" s="568" t="str">
        <f xml:space="preserve">
IF(表紙!V8="交付申請","新型コロナウイルス感染症検査機関等設備整備事業実施計画書",
IF(表紙!V8="変更申請","新型コロナウイルス感染症検査機関等設備整備事業実施計画書",
IF(表紙!V8="実績報告","新型コロナウイルス感染症検査機関等設備整備事業実施報告書")))</f>
        <v>新型コロナウイルス感染症検査機関等設備整備事業実施報告書</v>
      </c>
      <c r="C3" s="568"/>
      <c r="D3" s="568"/>
      <c r="E3" s="568"/>
      <c r="F3" s="568"/>
      <c r="G3" s="568"/>
      <c r="H3" s="568"/>
      <c r="I3" s="568"/>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69"/>
      <c r="AI3" s="569"/>
      <c r="AJ3" s="569"/>
      <c r="AK3" s="569"/>
    </row>
    <row r="4" spans="2:83" ht="26.5" x14ac:dyDescent="0.55000000000000004">
      <c r="B4" s="70" t="str">
        <f xml:space="preserve">
IF(表紙!V8="交付申請","【１．整備内容】",
IF(表紙!V8="変更申請","【１．整備内容】",
IF(表紙!V8="実績報告","【整備内容】")))</f>
        <v>【整備内容】</v>
      </c>
    </row>
    <row r="5" spans="2:83" ht="19.5" customHeight="1" x14ac:dyDescent="0.55000000000000004">
      <c r="B5" s="463" t="s">
        <v>116</v>
      </c>
      <c r="C5" s="462"/>
      <c r="D5" s="462"/>
      <c r="E5" s="462"/>
      <c r="F5" s="462"/>
      <c r="G5" s="462"/>
      <c r="H5" s="453" t="s">
        <v>196</v>
      </c>
      <c r="I5" s="454"/>
      <c r="J5" s="455"/>
      <c r="K5" s="537" t="s">
        <v>193</v>
      </c>
      <c r="L5" s="592"/>
      <c r="M5" s="592"/>
      <c r="N5" s="592"/>
      <c r="O5" s="592"/>
      <c r="P5" s="593"/>
      <c r="Q5" s="591" t="s">
        <v>195</v>
      </c>
      <c r="R5" s="454"/>
      <c r="S5" s="455"/>
      <c r="T5" s="596" t="str">
        <f xml:space="preserve">
IF(表紙!V8="交付申請","経費支出予定額",
IF(表紙!V8="変更申請","経費支出予定額",
IF(表紙!V8="実績報告","実績額")))</f>
        <v>実績額</v>
      </c>
      <c r="U5" s="597"/>
      <c r="V5" s="597"/>
      <c r="W5" s="597"/>
      <c r="X5" s="597"/>
      <c r="Y5" s="597"/>
      <c r="Z5" s="597"/>
      <c r="AA5" s="597"/>
      <c r="AB5" s="597"/>
      <c r="AC5" s="597"/>
      <c r="AD5" s="597"/>
      <c r="AE5" s="598"/>
      <c r="AF5" s="524" t="s">
        <v>197</v>
      </c>
      <c r="AG5" s="525"/>
      <c r="AH5" s="525"/>
      <c r="AI5" s="525"/>
      <c r="AJ5" s="525"/>
      <c r="AK5" s="526"/>
      <c r="BO5" s="64"/>
      <c r="BP5" s="15" t="str">
        <f>B4</f>
        <v>【整備内容】</v>
      </c>
    </row>
    <row r="6" spans="2:83" ht="19.5" customHeight="1" x14ac:dyDescent="0.55000000000000004">
      <c r="B6" s="463"/>
      <c r="C6" s="462"/>
      <c r="D6" s="462"/>
      <c r="E6" s="462"/>
      <c r="F6" s="462"/>
      <c r="G6" s="462"/>
      <c r="H6" s="599"/>
      <c r="I6" s="382"/>
      <c r="J6" s="457"/>
      <c r="K6" s="594"/>
      <c r="L6" s="381"/>
      <c r="M6" s="381"/>
      <c r="N6" s="381"/>
      <c r="O6" s="381"/>
      <c r="P6" s="595"/>
      <c r="Q6" s="382"/>
      <c r="R6" s="382"/>
      <c r="S6" s="457"/>
      <c r="T6" s="537" t="s">
        <v>121</v>
      </c>
      <c r="U6" s="454"/>
      <c r="V6" s="454"/>
      <c r="W6" s="454"/>
      <c r="X6" s="454"/>
      <c r="Y6" s="454"/>
      <c r="Z6" s="591" t="s">
        <v>122</v>
      </c>
      <c r="AA6" s="454"/>
      <c r="AB6" s="454"/>
      <c r="AC6" s="454"/>
      <c r="AD6" s="454"/>
      <c r="AE6" s="455"/>
      <c r="AF6" s="524"/>
      <c r="AG6" s="525"/>
      <c r="AH6" s="525"/>
      <c r="AI6" s="525"/>
      <c r="AJ6" s="525"/>
      <c r="AK6" s="526"/>
      <c r="BO6" s="64"/>
      <c r="BP6" s="63" t="s">
        <v>210</v>
      </c>
      <c r="BQ6" s="63" t="s">
        <v>209</v>
      </c>
      <c r="BR6" s="63" t="s">
        <v>206</v>
      </c>
      <c r="BS6" s="63" t="s">
        <v>211</v>
      </c>
      <c r="BT6" s="63" t="s">
        <v>207</v>
      </c>
      <c r="BU6" s="63" t="s">
        <v>208</v>
      </c>
      <c r="CB6" s="15" t="str">
        <f>IF(BZ9="○","",BY9&amp;"/")&amp;IF(BZ10="○","",BY10&amp;"/")&amp;IF(BZ11="○","",BY11&amp;"/")&amp;IF(BZ12="○","",BY12&amp;"/")</f>
        <v>【整備内容】/</v>
      </c>
    </row>
    <row r="7" spans="2:83" ht="18.75" customHeight="1" x14ac:dyDescent="0.55000000000000004">
      <c r="B7" s="556"/>
      <c r="C7" s="570"/>
      <c r="D7" s="570"/>
      <c r="E7" s="570"/>
      <c r="F7" s="570"/>
      <c r="G7" s="571"/>
      <c r="H7" s="538" t="s">
        <v>194</v>
      </c>
      <c r="I7" s="539"/>
      <c r="J7" s="540"/>
      <c r="K7" s="556"/>
      <c r="L7" s="557"/>
      <c r="M7" s="557"/>
      <c r="N7" s="557"/>
      <c r="O7" s="557"/>
      <c r="P7" s="558"/>
      <c r="Q7" s="562"/>
      <c r="R7" s="563"/>
      <c r="S7" s="564"/>
      <c r="T7" s="544"/>
      <c r="U7" s="545"/>
      <c r="V7" s="545"/>
      <c r="W7" s="545"/>
      <c r="X7" s="545"/>
      <c r="Y7" s="546"/>
      <c r="Z7" s="550">
        <f>Q7*T7</f>
        <v>0</v>
      </c>
      <c r="AA7" s="551"/>
      <c r="AB7" s="551"/>
      <c r="AC7" s="551"/>
      <c r="AD7" s="551"/>
      <c r="AE7" s="552"/>
      <c r="AF7" s="581"/>
      <c r="AG7" s="582"/>
      <c r="AH7" s="582"/>
      <c r="AI7" s="582"/>
      <c r="AJ7" s="582"/>
      <c r="AK7" s="583"/>
      <c r="BO7" s="65"/>
      <c r="BP7" s="604" t="str">
        <f>IF(COUNTIF(BQ7:BQ18,"○")=2,"○",IF(COUNTIF(BQ7:BQ18,"×")&gt;=1,"×"))</f>
        <v>×</v>
      </c>
      <c r="BQ7" s="604" t="str">
        <f>IF(COUNTIF(BT7:BT12,"○")=6,"○",IF(COUNTIF(BT7:BT12,"×")&gt;=1,"×"))</f>
        <v>×</v>
      </c>
      <c r="BR7" s="604" t="s">
        <v>204</v>
      </c>
      <c r="BS7" s="63" t="s">
        <v>206</v>
      </c>
      <c r="BT7" s="66" t="str">
        <f>IF(COUNTA(B7)=1,"○","×")</f>
        <v>×</v>
      </c>
      <c r="BU7" s="18" t="str">
        <f>IF(COUNTA(B7)=1,"品目が正常に入力されました。","【要修正】品目が未選択です。")</f>
        <v>【要修正】品目が未選択です。</v>
      </c>
      <c r="BY7" s="15" t="s">
        <v>222</v>
      </c>
    </row>
    <row r="8" spans="2:83" ht="18.75" customHeight="1" x14ac:dyDescent="0.55000000000000004">
      <c r="B8" s="572"/>
      <c r="C8" s="573"/>
      <c r="D8" s="573"/>
      <c r="E8" s="573"/>
      <c r="F8" s="573"/>
      <c r="G8" s="574"/>
      <c r="H8" s="541"/>
      <c r="I8" s="542"/>
      <c r="J8" s="543"/>
      <c r="K8" s="559"/>
      <c r="L8" s="560"/>
      <c r="M8" s="560"/>
      <c r="N8" s="560"/>
      <c r="O8" s="560"/>
      <c r="P8" s="561"/>
      <c r="Q8" s="565"/>
      <c r="R8" s="566"/>
      <c r="S8" s="567"/>
      <c r="T8" s="547"/>
      <c r="U8" s="548"/>
      <c r="V8" s="548"/>
      <c r="W8" s="548"/>
      <c r="X8" s="548"/>
      <c r="Y8" s="549"/>
      <c r="Z8" s="553"/>
      <c r="AA8" s="554"/>
      <c r="AB8" s="554"/>
      <c r="AC8" s="554"/>
      <c r="AD8" s="554"/>
      <c r="AE8" s="555"/>
      <c r="AF8" s="584"/>
      <c r="AG8" s="585"/>
      <c r="AH8" s="585"/>
      <c r="AI8" s="585"/>
      <c r="AJ8" s="585"/>
      <c r="AK8" s="586"/>
      <c r="BF8" s="59">
        <f>COUNTA(K17:Y18)</f>
        <v>0</v>
      </c>
      <c r="BO8" s="65"/>
      <c r="BP8" s="608"/>
      <c r="BQ8" s="608"/>
      <c r="BR8" s="608"/>
      <c r="BS8" s="16" t="s">
        <v>212</v>
      </c>
      <c r="BT8" s="66" t="str">
        <f xml:space="preserve">
IF(COUNTA(K7:Y8)=0,"×",
IF(AND(COUNTA(K7:Y8)&gt;=1,COUNTA(K7:Y8)&lt;3),"×",
IF(COUNTA(K7:Y8)=3,"○",)))</f>
        <v>×</v>
      </c>
      <c r="BU8" s="18" t="str">
        <f xml:space="preserve">
IF(AND(COUNTA(B7)=0,COUNTA(K7:Y8)=0,COUNTA(AF7)=0),"【要修正】【１台目本体】品目、規格・数量・単価、分析可能見込件数が未入力です。",
IF(AND(COUNTA(B7)=0,COUNTA(K7:Y8)&gt;=1,COUNTA(K7:Y8)&lt;3,COUNTA(AF7)=0),"【要修正】【１台目本体】品目が未入力、規格・数量・単価が入力不十分、分析可能見込件数が未入力です。",
IF(AND(COUNTA(B7)=0,COUNTA(K7:Y8)=3,COUNTA(AF7)=0),"【要修正】【１台目本体】品目が未入力、分析可能見込件数が未入力です。",
IF(AND(COUNTA(B7)=1,COUNTA(K7:Y8)=0,COUNTA(AF7)=0),"【要修正】【１台目本体】規格・数量・単価が未入力、分析可能見込件数が未入力です。",
IF(AND(COUNTA(B7)=1,COUNTA(K7:Y8)&gt;=1,COUNTA(K7:Y8)&lt;3,COUNTA(AF7)=0),"【要修正】【１台目本体】規格・数量・単価が入力不十分、分析可能見込件数が未入力です。",
IF(AND(COUNTA(B7)=1,COUNTA(K7:Y8)=3,COUNTA(AF7)=0),"【要修正】【１台目本体】分析可能見込件数が未入力です。",
IF(AND(COUNTA(B7)=0,COUNTA(K7:Y8)=0,COUNTA(AF7)=1),"【要修正】【１台目本体】品目が未入力、規格・数量・単価が未入力です。",
IF(AND(COUNTA(B7)=0,COUNTA(K7:Y8)&gt;=1,COUNTA(K7:Y8)&lt;3,COUNTA(AF7)=1),"【要修正】【１台目本体】品目が未入力、規格・数量・単価が入力不十分です。",
IF(AND(COUNTA(B7)=0,COUNTA(K7:Y8)=3,COUNTA(AF7)=1),"【要修正】【１台目本体】品目が未入力です。",
IF(AND(COUNTA(B7)=1,COUNTA(K7:Y8)=0,COUNTA(AF7)=1),"【要修正】【１台目本体】規格・数量・単価が未入力です。",
IF(AND(COUNTA(B7)=1,COUNTA(K7:Y8)&gt;=1,COUNTA(K7:Y8)&lt;3,COUNTA(AF7)=1),"【要修正】【１台目本体】規格・数量・単価が入力不十分です。",
IF(AND(COUNTA(B7)=1,COUNTA(K7:Y8)=3,COUNTA(AF7)=1),"全ての項目が入力されました。",))))))))))))</f>
        <v>【要修正】【１台目本体】品目、規格・数量・単価、分析可能見込件数が未入力です。</v>
      </c>
      <c r="BY8" s="66" t="s">
        <v>221</v>
      </c>
      <c r="BZ8" s="66" t="s">
        <v>220</v>
      </c>
      <c r="CA8" s="66" t="s">
        <v>210</v>
      </c>
      <c r="CB8" s="596" t="s">
        <v>208</v>
      </c>
      <c r="CC8" s="627"/>
      <c r="CD8" s="627"/>
      <c r="CE8" s="628"/>
    </row>
    <row r="9" spans="2:83" x14ac:dyDescent="0.55000000000000004">
      <c r="B9" s="572"/>
      <c r="C9" s="573"/>
      <c r="D9" s="573"/>
      <c r="E9" s="573"/>
      <c r="F9" s="573"/>
      <c r="G9" s="574"/>
      <c r="H9" s="538" t="s">
        <v>198</v>
      </c>
      <c r="I9" s="539"/>
      <c r="J9" s="540"/>
      <c r="K9" s="556"/>
      <c r="L9" s="557"/>
      <c r="M9" s="557"/>
      <c r="N9" s="557"/>
      <c r="O9" s="557"/>
      <c r="P9" s="558"/>
      <c r="Q9" s="562"/>
      <c r="R9" s="563"/>
      <c r="S9" s="564"/>
      <c r="T9" s="544"/>
      <c r="U9" s="545"/>
      <c r="V9" s="545"/>
      <c r="W9" s="545"/>
      <c r="X9" s="545"/>
      <c r="Y9" s="546"/>
      <c r="Z9" s="550">
        <f>Q9*T9</f>
        <v>0</v>
      </c>
      <c r="AA9" s="551"/>
      <c r="AB9" s="551"/>
      <c r="AC9" s="551"/>
      <c r="AD9" s="551"/>
      <c r="AE9" s="552"/>
      <c r="AF9" s="584"/>
      <c r="AG9" s="587"/>
      <c r="AH9" s="587"/>
      <c r="AI9" s="587"/>
      <c r="AJ9" s="587"/>
      <c r="AK9" s="586"/>
      <c r="BO9" s="65"/>
      <c r="BP9" s="608"/>
      <c r="BQ9" s="608"/>
      <c r="BR9" s="608"/>
      <c r="BS9" s="63" t="s">
        <v>213</v>
      </c>
      <c r="BT9" s="141" t="str">
        <f xml:space="preserve">
IF(AND(COUNTA(B7)=0,COUNTA(K9:Y10)=0,COUNTA(AF7)=0),"○",
IF(AND(COUNTA(B7)=0,COUNTA(K9:Y10)&gt;=1,COUNTA(K9:Y10)&lt;3,COUNTA(AF7)=0),"×",
IF(AND(COUNTA(B7)=0,COUNTA(K9:Y10)=3,COUNTA(AF7)=0),"×",
IF(AND(COUNTA(B7)=1,COUNTA(K9:Y10)=0,COUNTA(AF7)=0),"×",
IF(AND(COUNTA(B7)=1,COUNTA(K9:Y10)&gt;=1,COUNTA(K9:Y10)&lt;3,COUNTA(AF7)=0),"×",
IF(AND(COUNTA(B7)=1,COUNTA(K9:Y10)=3,COUNTA(AF7)=0),"×",
IF(AND(COUNTA(B7)=0,COUNTA(K9:Y10)=0,COUNTA(AF7)=1),"×",
IF(AND(COUNTA(B7)=0,COUNTA(K9:Y10)&gt;=1,COUNTA(K9:Y10)&lt;3,COUNTA(AF7)=1),"×",
IF(AND(COUNTA(B7)=0,COUNTA(K9:Y10)=3,COUNTA(AF7)=1),"×",
IF(AND(COUNTA(B7)=1,COUNTA(K9:Y10)=0,COUNTA(AF7)=1),"○",
IF(AND(COUNTA(B7)=1,COUNTA(K9:Y10)&gt;=1,COUNTA(K9:Y10)&lt;3,COUNTA(AF7)=1),"×",
IF(AND(COUNTA(B7)=1,COUNTA(K9:Y10)=3,COUNTA(AF7)=1),"○",))))))))))))</f>
        <v>○</v>
      </c>
      <c r="BU9" s="18" t="str">
        <f xml:space="preserve">
IF(AND(COUNTA(B7)=0,COUNTA(K9:Y10)=0,COUNTA(AF7)=0),"付属備品を経費計上しない場合は入力不要です。",
IF(AND(COUNTA(B7)=0,COUNTA(K9:Y10)&gt;=1,COUNTA(K9:Y10)&lt;3,COUNTA(AF7)=0),"【要修正】【１台目付属備品1】品目が未入力、規格・数量・単価が入力不十分、分析可能見込件数が未入力です。",
IF(AND(COUNTA(B7)=0,COUNTA(K9:Y10)=3,COUNTA(AF7)=0),"【要修正】【１台目付属備品1】品目が未入力、分析可能見込件数が未入力です。",
IF(AND(COUNTA(B7)=1,COUNTA(K9:Y10)=0,COUNTA(AF7)=0),"【要修正】【１台目付属備品1】規格・数量・単価が未入力、分析可能見込件数が未入力です。",
IF(AND(COUNTA(B7)=1,COUNTA(K9:Y10)&gt;=1,COUNTA(K9:Y10)&lt;3,COUNTA(AF7)=0),"【要修正】【１台目付属備品1】規格・数量・単価が入力不十分、分析可能見込件数が未入力です。",
IF(AND(COUNTA(B7)=1,COUNTA(K9:Y10)=3,COUNTA(AF7)=0),"【要修正】【１台目付属備品1】分析可能見込件数が未入力です。",
IF(AND(COUNTA(B7)=0,COUNTA(K9:Y10)=0,COUNTA(AF7)=1),"【要修正】【１台目付属備品1】品目が未入力、規格・数量・単価が未入力です。",
IF(AND(COUNTA(B7)=0,COUNTA(K9:Y10)&gt;=1,COUNTA(K9:Y10)&lt;3,COUNTA(AF7)=1),"【要修正】【１台目付属備品1】品目が未入力、規格・数量・単価が入力不十分です。",
IF(AND(COUNTA(B7)=0,COUNTA(K9:Y10)=3,COUNTA(AF7)=1),"【要修正】【１台目付属備品1】品目が未入力です。",
IF(AND(COUNTA(B7)=1,COUNTA(K9:Y10)=0,COUNTA(AF7)=1),"付属備品を経費計上しない場合は入力不要です。",
IF(AND(COUNTA(B7)=1,COUNTA(K9:Y10)&gt;=1,COUNTA(K9:Y10)&lt;3,COUNTA(AF7)=1),"【要修正】【１台目付属備品1】規格・数量・単価が入力不十分です。",
IF(AND(COUNTA(B7)=1,COUNTA(K9:Y10)=3,COUNTA(AF7)=1),"全ての項目が入力されました。",))))))))))))</f>
        <v>付属備品を経費計上しない場合は入力不要です。</v>
      </c>
      <c r="BY9" s="18" t="str">
        <f>B4</f>
        <v>【整備内容】</v>
      </c>
      <c r="BZ9" s="66" t="str">
        <f>BP7</f>
        <v>×</v>
      </c>
      <c r="CA9" s="463" t="str">
        <f xml:space="preserve">
IF(AND(表紙!V8="交付申請",COUNTIF(BZ9:BZ12,"○")=4),"○",
IF(AND(表紙!V8="交付申請",COUNTIF(BZ9:BZ12,"○")&lt;&gt;4),"×",
IF(AND(表紙!V8="変更申請",COUNTIF(BZ9:BZ12,"○")=4),"○",
IF(AND(表紙!V8="変更申請",COUNTIF(BZ9:BZ12,"○")&lt;&gt;4),"×",
IF(AND(表紙!V8="実績報告",COUNTIF(実施計画書!BZ9,"○")=1),"○",
IF(AND(表紙!V8="実績報告",COUNTIF(実施計画書!BZ9,"○")&lt;&gt;1),"×"))))))</f>
        <v>×</v>
      </c>
      <c r="CB9" s="629" t="str">
        <f>IF(COUNTIF(BZ9:BZ12,"○")=4,"全ての項目が適切に入力されました。",IF(COUNTIF(BZ9:BZ12,"×")&gt;=1,"【要修正】次の項目の入力に不備がありますので御確認ください"&amp;CHAR(10)&amp;"→"&amp;CB6))</f>
        <v>【要修正】次の項目の入力に不備がありますので御確認ください
→【整備内容】/</v>
      </c>
      <c r="CC9" s="482"/>
      <c r="CD9" s="482"/>
      <c r="CE9" s="483"/>
    </row>
    <row r="10" spans="2:83" x14ac:dyDescent="0.55000000000000004">
      <c r="B10" s="575"/>
      <c r="C10" s="576"/>
      <c r="D10" s="576"/>
      <c r="E10" s="576"/>
      <c r="F10" s="576"/>
      <c r="G10" s="577"/>
      <c r="H10" s="541"/>
      <c r="I10" s="542"/>
      <c r="J10" s="543"/>
      <c r="K10" s="559"/>
      <c r="L10" s="560"/>
      <c r="M10" s="560"/>
      <c r="N10" s="560"/>
      <c r="O10" s="560"/>
      <c r="P10" s="561"/>
      <c r="Q10" s="565"/>
      <c r="R10" s="566"/>
      <c r="S10" s="567"/>
      <c r="T10" s="547"/>
      <c r="U10" s="548"/>
      <c r="V10" s="548"/>
      <c r="W10" s="548"/>
      <c r="X10" s="548"/>
      <c r="Y10" s="549"/>
      <c r="Z10" s="553"/>
      <c r="AA10" s="554"/>
      <c r="AB10" s="554"/>
      <c r="AC10" s="554"/>
      <c r="AD10" s="554"/>
      <c r="AE10" s="555"/>
      <c r="AF10" s="584"/>
      <c r="AG10" s="587"/>
      <c r="AH10" s="587"/>
      <c r="AI10" s="587"/>
      <c r="AJ10" s="587"/>
      <c r="AK10" s="586"/>
      <c r="BO10" s="65"/>
      <c r="BP10" s="608"/>
      <c r="BQ10" s="608"/>
      <c r="BR10" s="608"/>
      <c r="BS10" s="63" t="s">
        <v>214</v>
      </c>
      <c r="BT10" s="141" t="str">
        <f xml:space="preserve">
IF(AND(COUNTA(B7)=0,COUNTA(K11:Y12)=0,COUNTA(AF7)=0),"○",
IF(AND(COUNTA(B7)=0,COUNTA(K11:Y12)&gt;=1,COUNTA(K11:Y12)&lt;3,COUNTA(AF7)=0),"×",
IF(AND(COUNTA(B7)=0,COUNTA(K11:Y12)=3,COUNTA(AF7)=0),"×",
IF(AND(COUNTA(B7)=1,COUNTA(K11:Y12)=0,COUNTA(AF7)=0),"×",
IF(AND(COUNTA(B7)=1,COUNTA(K11:Y12)&gt;=1,COUNTA(K11:Y12)&lt;3,COUNTA(AF7)=0),"×",
IF(AND(COUNTA(B7)=1,COUNTA(K11:Y12)=3,COUNTA(AF7)=0),"×",
IF(AND(COUNTA(B7)=0,COUNTA(K11:Y12)=0,COUNTA(AF7)=1),"×",
IF(AND(COUNTA(B7)=0,COUNTA(K11:Y12)&gt;=1,COUNTA(K11:Y12)&lt;3,COUNTA(AF7)=1),"×。",
IF(AND(COUNTA(B7)=0,COUNTA(K11:Y12)=3,COUNTA(AF7)=1),"×",
IF(AND(COUNTA(B7)=1,COUNTA(K11:Y12)=0,COUNTA(AF7)=1),"○",
IF(AND(COUNTA(B7)=1,COUNTA(K11:Y12)&gt;=1,COUNTA(K11:Y12)&lt;3,COUNTA(AF7)=1),"×",
IF(AND(COUNTA(B7)=1,COUNTA(K11:Y12)=3,COUNTA(AF7)=1),"○",))))))))))))</f>
        <v>○</v>
      </c>
      <c r="BU10" s="18" t="str">
        <f xml:space="preserve">
IF(AND(COUNTA(B7)=0,COUNTA(K11:Y12)=0,COUNTA(AF7)=0),"付属備品を経費計上しない場合は入力不要です。",
IF(AND(COUNTA(B7)=0,COUNTA(K11:Y12)&gt;=1,COUNTA(K11:Y12)&lt;3,COUNTA(AF7)=0),"【要修正】【１台目付属備品2】品目が未入力、規格・数量・単価が入力不十分、分析可能見込件数が未入力です。",
IF(AND(COUNTA(B7)=0,COUNTA(K11:Y12)=3,COUNTA(AF7)=0),"【要修正】【１台目付属備品2】品目が未入力、分析可能見込件数が未入力です。",
IF(AND(COUNTA(B7)=1,COUNTA(K11:Y12)=0,COUNTA(AF7)=0),"【要修正】【１台目付属備品2】規格・数量・単価が未入力、分析可能見込件数が未入力です。",
IF(AND(COUNTA(B7)=1,COUNTA(K11:Y12)&gt;=1,COUNTA(K11:Y12)&lt;3,COUNTA(AF7)=0),"【要修正】【１台目付属備品2】規格・数量・単価が入力不十分、分析可能見込件数が未入力です。",
IF(AND(COUNTA(B7)=1,COUNTA(K11:Y12)=3,COUNTA(AF7)=0),"【要修正】【１台目付属備品2】分析可能見込件数が未入力です。",
IF(AND(COUNTA(B7)=0,COUNTA(K11:Y12)=0,COUNTA(AF7)=1),"【要修正】【１台目付属備品2】品目が未入力、規格・数量・単価が未入力です。",
IF(AND(COUNTA(B7)=0,COUNTA(K11:Y12)&gt;=1,COUNTA(K11:Y12)&lt;3,COUNTA(AF7)=1),"【要修正】【１台目付属備品2】品目が未入力、規格・数量・単価が入力不十分です。",
IF(AND(COUNTA(B7)=0,COUNTA(K11:Y12)=3,COUNTA(AF7)=1),"【要修正】【１台目付属備品2】品目が未入力です。",
IF(AND(COUNTA(B7)=1,COUNTA(K11:Y12)=0,COUNTA(AF7)=1),"付属備品を経費計上しない場合は入力不要です。",
IF(AND(COUNTA(B7)=1,COUNTA(K11:Y12)&gt;=1,COUNTA(K11:Y12)&lt;3,COUNTA(AF7)=1),"【要修正】【１台目付属備品2】規格・数量・単価が入力不十分です。",
IF(AND(COUNTA(B7)=1,COUNTA(K11:Y12)=3,COUNTA(AF7)=1),"全ての項目が入力されました。",))))))))))))</f>
        <v>付属備品を経費計上しない場合は入力不要です。</v>
      </c>
      <c r="BY10" s="18" t="str">
        <f>BP30</f>
        <v>－</v>
      </c>
      <c r="BZ10" s="66" t="str">
        <f>BP32</f>
        <v>○</v>
      </c>
      <c r="CA10" s="395"/>
      <c r="CB10" s="630"/>
      <c r="CC10" s="391"/>
      <c r="CD10" s="391"/>
      <c r="CE10" s="484"/>
    </row>
    <row r="11" spans="2:83" x14ac:dyDescent="0.55000000000000004">
      <c r="B11" s="575"/>
      <c r="C11" s="576"/>
      <c r="D11" s="576"/>
      <c r="E11" s="576"/>
      <c r="F11" s="576"/>
      <c r="G11" s="577"/>
      <c r="H11" s="538" t="s">
        <v>199</v>
      </c>
      <c r="I11" s="539"/>
      <c r="J11" s="540"/>
      <c r="K11" s="556"/>
      <c r="L11" s="557"/>
      <c r="M11" s="557"/>
      <c r="N11" s="557"/>
      <c r="O11" s="557"/>
      <c r="P11" s="558"/>
      <c r="Q11" s="562"/>
      <c r="R11" s="563"/>
      <c r="S11" s="564"/>
      <c r="T11" s="544"/>
      <c r="U11" s="545"/>
      <c r="V11" s="545"/>
      <c r="W11" s="545"/>
      <c r="X11" s="545"/>
      <c r="Y11" s="546"/>
      <c r="Z11" s="550">
        <f>Q11*T11</f>
        <v>0</v>
      </c>
      <c r="AA11" s="551"/>
      <c r="AB11" s="551"/>
      <c r="AC11" s="551"/>
      <c r="AD11" s="551"/>
      <c r="AE11" s="552"/>
      <c r="AF11" s="584"/>
      <c r="AG11" s="587"/>
      <c r="AH11" s="587"/>
      <c r="AI11" s="587"/>
      <c r="AJ11" s="587"/>
      <c r="AK11" s="586"/>
      <c r="BO11" s="65"/>
      <c r="BP11" s="608"/>
      <c r="BQ11" s="608"/>
      <c r="BR11" s="608"/>
      <c r="BS11" s="63" t="s">
        <v>215</v>
      </c>
      <c r="BT11" s="141" t="str">
        <f xml:space="preserve">
IF(AND(COUNTA(B7)=0,COUNTA(K13:Y14)=0,COUNTA(AF7)=0),"○",
IF(AND(COUNTA(B7)=0,COUNTA(K13:Y14)&gt;=1,COUNTA(K13:Y14)&lt;3,COUNTA(AF7)=0),"×",
IF(AND(COUNTA(B7)=0,COUNTA(K13:Y14)=3,COUNTA(AF7)=0),"×",
IF(AND(COUNTA(B7)=1,COUNTA(K13:Y14)=0,COUNTA(AF7)=0),"×",
IF(AND(COUNTA(B7)=1,COUNTA(K13:Y14)&gt;=1,COUNTA(K13:Y14)&lt;3,COUNTA(AF7)=0),"×",
IF(AND(COUNTA(B7)=1,COUNTA(K13:Y14)=3,COUNTA(AF7)=0),"×",
IF(AND(COUNTA(B7)=0,COUNTA(K13:Y14)=0,COUNTA(AF7)=1),"×",
IF(AND(COUNTA(B7)=0,COUNTA(K13:Y14)&gt;=1,COUNTA(K13:Y14)&lt;3,COUNTA(AF7)=1),"×",
IF(AND(COUNTA(B7)=0,COUNTA(K13:Y14)=3,COUNTA(AF7)=1),"×",
IF(AND(COUNTA(B7)=1,COUNTA(K13:Y14)=0,COUNTA(AF7)=1),"○",
IF(AND(COUNTA(B7)=1,COUNTA(K13:Y14)&gt;=1,COUNTA(K13:Y14)&lt;3,COUNTA(AF7)=1),"×",
IF(AND(COUNTA(B7)=1,COUNTA(K13:Y14)=3,COUNTA(AF7)=1),"○",))))))))))))</f>
        <v>○</v>
      </c>
      <c r="BU11" s="18" t="str">
        <f xml:space="preserve">
IF(AND(COUNTA(B7)=0,COUNTA(K13:Y14)=0,COUNTA(AF7)=0),"付属備品を経費計上しない場合は入力不要です。",
IF(AND(COUNTA(B7)=0,COUNTA(K13:Y14)&gt;=1,COUNTA(K13:Y14)&lt;3,COUNTA(AF7)=0),"【要修正】【１台目付属備品3】品目が未入力、規格・数量・単価が入力不十分、分析可能見込件数が未入力です。",
IF(AND(COUNTA(B7)=0,COUNTA(K13:Y14)=3,COUNTA(AF7)=0),"【要修正】【１台目付属備品3】品目が未入力、分析可能見込件数が未入力です。",
IF(AND(COUNTA(B7)=1,COUNTA(K13:Y14)=0,COUNTA(AF7)=0),"【要修正】【１台目付属備品3】規格・数量・単価が未入力、分析可能見込件数が未入力です。",
IF(AND(COUNTA(B7)=1,COUNTA(K13:Y14)&gt;=1,COUNTA(K13:Y14)&lt;3,COUNTA(AF7)=0),"【要修正】【１台目付属備品3】規格・数量・単価が入力不十分、分析可能見込件数が未入力です。",
IF(AND(COUNTA(B7)=1,COUNTA(K13:Y14)=3,COUNTA(AF7)=0),"【要修正】【１台目付属備品3】分析可能見込件数が未入力です。",
IF(AND(COUNTA(B7)=0,COUNTA(K13:Y14)=0,COUNTA(AF7)=1),"【要修正】【１台目付属備品3】品目が未入力、規格・数量・単価が未入力です。",
IF(AND(COUNTA(B7)=0,COUNTA(K13:Y14)&gt;=1,COUNTA(K13:Y14)&lt;3,COUNTA(AF7)=1),"【要修正】【１台目付属備品3】品目が未入力、規格・数量・単価が入力不十分です。",
IF(AND(COUNTA(B7)=0,COUNTA(K13:Y14)=3,COUNTA(AF7)=1),"【要修正】【１台目付属備品3】品目が未入力です。",
IF(AND(COUNTA(B7)=1,COUNTA(K13:Y14)=0,COUNTA(AF7)=1),"付属備品を経費計上しない場合は入力不要です。",
IF(AND(COUNTA(B7)=1,COUNTA(K13:Y14)&gt;=1,COUNTA(K13:Y14)&lt;3,COUNTA(AF7)=1),"【要修正】【１台目付属備品3】規格・数量・単価が入力不十分です。",
IF(AND(COUNTA(B7)=1,COUNTA(K13:Y14)=3,COUNTA(AF7)=1),"全ての項目が入力されました。",))))))))))))</f>
        <v>付属備品を経費計上しない場合は入力不要です。</v>
      </c>
      <c r="BY11" s="18" t="str">
        <f>BP41</f>
        <v>－</v>
      </c>
      <c r="BZ11" s="66" t="str">
        <f>BP43</f>
        <v>○</v>
      </c>
      <c r="CA11" s="395"/>
      <c r="CB11" s="630"/>
      <c r="CC11" s="391"/>
      <c r="CD11" s="391"/>
      <c r="CE11" s="484"/>
    </row>
    <row r="12" spans="2:83" x14ac:dyDescent="0.55000000000000004">
      <c r="B12" s="575"/>
      <c r="C12" s="576"/>
      <c r="D12" s="576"/>
      <c r="E12" s="576"/>
      <c r="F12" s="576"/>
      <c r="G12" s="577"/>
      <c r="H12" s="541"/>
      <c r="I12" s="542"/>
      <c r="J12" s="543"/>
      <c r="K12" s="559"/>
      <c r="L12" s="560"/>
      <c r="M12" s="560"/>
      <c r="N12" s="560"/>
      <c r="O12" s="560"/>
      <c r="P12" s="561"/>
      <c r="Q12" s="565"/>
      <c r="R12" s="566"/>
      <c r="S12" s="567"/>
      <c r="T12" s="547"/>
      <c r="U12" s="548"/>
      <c r="V12" s="548"/>
      <c r="W12" s="548"/>
      <c r="X12" s="548"/>
      <c r="Y12" s="549"/>
      <c r="Z12" s="553"/>
      <c r="AA12" s="554"/>
      <c r="AB12" s="554"/>
      <c r="AC12" s="554"/>
      <c r="AD12" s="554"/>
      <c r="AE12" s="555"/>
      <c r="AF12" s="584"/>
      <c r="AG12" s="587"/>
      <c r="AH12" s="587"/>
      <c r="AI12" s="587"/>
      <c r="AJ12" s="587"/>
      <c r="AK12" s="586"/>
      <c r="BO12" s="65"/>
      <c r="BP12" s="608"/>
      <c r="BQ12" s="386"/>
      <c r="BR12" s="386"/>
      <c r="BS12" s="63" t="s">
        <v>217</v>
      </c>
      <c r="BT12" s="66" t="str">
        <f>IF(COUNTA(AF7)=1,"○","×")</f>
        <v>×</v>
      </c>
      <c r="BU12" s="18" t="str">
        <f>IF(COUNTA(AF7)=1,"分析可能見込件数が正常に入力されました。","【要修正】分析可能見込件数が未入力です。")</f>
        <v>【要修正】分析可能見込件数が未入力です。</v>
      </c>
      <c r="BY12" s="18" t="str">
        <f>BP49</f>
        <v>－</v>
      </c>
      <c r="BZ12" s="66" t="str">
        <f>BP51</f>
        <v>○</v>
      </c>
      <c r="CA12" s="395"/>
      <c r="CB12" s="485"/>
      <c r="CC12" s="486"/>
      <c r="CD12" s="486"/>
      <c r="CE12" s="487"/>
    </row>
    <row r="13" spans="2:83" x14ac:dyDescent="0.55000000000000004">
      <c r="B13" s="575"/>
      <c r="C13" s="576"/>
      <c r="D13" s="576"/>
      <c r="E13" s="576"/>
      <c r="F13" s="576"/>
      <c r="G13" s="577"/>
      <c r="H13" s="538" t="s">
        <v>200</v>
      </c>
      <c r="I13" s="539"/>
      <c r="J13" s="540"/>
      <c r="K13" s="556"/>
      <c r="L13" s="557"/>
      <c r="M13" s="557"/>
      <c r="N13" s="557"/>
      <c r="O13" s="557"/>
      <c r="P13" s="558"/>
      <c r="Q13" s="562"/>
      <c r="R13" s="563"/>
      <c r="S13" s="564"/>
      <c r="T13" s="544"/>
      <c r="U13" s="545"/>
      <c r="V13" s="545"/>
      <c r="W13" s="545"/>
      <c r="X13" s="545"/>
      <c r="Y13" s="546"/>
      <c r="Z13" s="550">
        <f>Q13*T13</f>
        <v>0</v>
      </c>
      <c r="AA13" s="551"/>
      <c r="AB13" s="551"/>
      <c r="AC13" s="551"/>
      <c r="AD13" s="551"/>
      <c r="AE13" s="552"/>
      <c r="AF13" s="584"/>
      <c r="AG13" s="587"/>
      <c r="AH13" s="587"/>
      <c r="AI13" s="587"/>
      <c r="AJ13" s="587"/>
      <c r="AK13" s="586"/>
      <c r="BO13" s="65"/>
      <c r="BP13" s="608"/>
      <c r="BQ13" s="604" t="str">
        <f>IF(COUNTIF(BT13:BT18,"○")=6,"○",IF(COUNTIF(BT13:BT18,"×")&gt;=1,"×"))</f>
        <v>○</v>
      </c>
      <c r="BR13" s="604" t="s">
        <v>205</v>
      </c>
      <c r="BS13" s="63" t="s">
        <v>206</v>
      </c>
      <c r="BT13" s="66" t="str">
        <f>IF(COUNTA(B15)=1,"○","○")</f>
        <v>○</v>
      </c>
      <c r="BU13" s="18" t="str">
        <f>IF(COUNTA(B15)=1,"品目が正常に入力されました。","１台のみの申請の場合は入力不要です。")</f>
        <v>１台のみの申請の場合は入力不要です。</v>
      </c>
      <c r="BZ13" s="16"/>
    </row>
    <row r="14" spans="2:83" x14ac:dyDescent="0.55000000000000004">
      <c r="B14" s="578"/>
      <c r="C14" s="579"/>
      <c r="D14" s="579"/>
      <c r="E14" s="579"/>
      <c r="F14" s="579"/>
      <c r="G14" s="580"/>
      <c r="H14" s="541"/>
      <c r="I14" s="542"/>
      <c r="J14" s="543"/>
      <c r="K14" s="559"/>
      <c r="L14" s="560"/>
      <c r="M14" s="560"/>
      <c r="N14" s="560"/>
      <c r="O14" s="560"/>
      <c r="P14" s="561"/>
      <c r="Q14" s="565"/>
      <c r="R14" s="566"/>
      <c r="S14" s="567"/>
      <c r="T14" s="547"/>
      <c r="U14" s="548"/>
      <c r="V14" s="548"/>
      <c r="W14" s="548"/>
      <c r="X14" s="548"/>
      <c r="Y14" s="549"/>
      <c r="Z14" s="553"/>
      <c r="AA14" s="554"/>
      <c r="AB14" s="554"/>
      <c r="AC14" s="554"/>
      <c r="AD14" s="554"/>
      <c r="AE14" s="555"/>
      <c r="AF14" s="588"/>
      <c r="AG14" s="589"/>
      <c r="AH14" s="589"/>
      <c r="AI14" s="589"/>
      <c r="AJ14" s="589"/>
      <c r="AK14" s="590"/>
      <c r="BO14" s="65"/>
      <c r="BP14" s="608"/>
      <c r="BQ14" s="608"/>
      <c r="BR14" s="608"/>
      <c r="BS14" s="16" t="s">
        <v>212</v>
      </c>
      <c r="BT14" s="66" t="str">
        <f xml:space="preserve">
IF(AND(COUNTA(B15)=0,COUNTA(K15:Y16)=0,COUNTA(AF15)=0),"○",
IF(AND(COUNTA(B15)=0,COUNTA(K15:Y16)&gt;=1,COUNTA(K15:Y16)&lt;3,COUNTA(AF15)=0),"×",
IF(AND(COUNTA(B15)=0,COUNTA(K15:Y16)=3,COUNTA(AF15)=0),"×",
IF(AND(COUNTA(B15)=1,COUNTA(K15:Y16)=0,COUNTA(AF15)=0),"×",
IF(AND(COUNTA(B15)=1,COUNTA(K15:Y16)&gt;=1,COUNTA(K15:Y16)&lt;3,COUNTA(AF15)=0),"×",
IF(AND(COUNTA(B15)=1,COUNTA(K15:Y16)=3,COUNTA(AF15)=0),"×",
IF(AND(COUNTA(B15)=0,COUNTA(K15:Y16)=0,COUNTA(AF15)=1),"×",
IF(AND(COUNTA(B15)=0,COUNTA(K15:Y16)&gt;=1,COUNTA(K15:Y16)&lt;3,COUNTA(AF15)=1),"×",
IF(AND(COUNTA(B15)=0,COUNTA(K15:Y16)=3,COUNTA(AF15)=1),"×",
IF(AND(COUNTA(B15)=1,COUNTA(K15:Y16)=0,COUNTA(AF15)=1),"×",
IF(AND(COUNTA(B15)=1,COUNTA(K15:Y16)&gt;=1,COUNTA(K15:Y16)&lt;3,COUNTA(AF15)=1),"×",
IF(AND(COUNTA(B15)=1,COUNTA(K15:Y16)=3,COUNTA(AF15)=1),"○",))))))))))))</f>
        <v>○</v>
      </c>
      <c r="BU14" s="18" t="str">
        <f xml:space="preserve">
IF(AND(COUNTA(B15)=0,COUNTA(K15:Y16)=0,COUNTA(AF15)=0),"１台のみの申請の場合は入力不要です。",
IF(AND(COUNTA(B15)=0,COUNTA(K15:Y16)&gt;=1,COUNTA(K15:Y16)&lt;3,COUNTA(AF15)=0),"【要修正】【２台目本体】品目が未入力、規格・数量・単価が入力不十分、分析可能見込件数が未入力です。",
IF(AND(COUNTA(B15)=0,COUNTA(K15:Y16)=3,COUNTA(AF15)=0),"【要修正】【２台目本体】品目が未入力、分析可能見込件数が未入力です。",
IF(AND(COUNTA(B15)=1,COUNTA(K15:Y16)=0,COUNTA(AF15)=0),"【要修正】【２台目本体】規格・数量・単価が未入力、分析可能見込件数が未入力です。",
IF(AND(COUNTA(B15)=1,COUNTA(K15:Y16)&gt;=1,COUNTA(K15:Y16)&lt;3,COUNTA(AF15)=0),"【要修正】【２台目本体】規格・数量・単価が入力不十分、分析可能見込件数が未入力です。",
IF(AND(COUNTA(B15)=1,COUNTA(K15:Y16)=3,COUNTA(AF15)=0),"【要修正】【２台目本体】分析可能見込件数が未入力です。",
IF(AND(COUNTA(B15)=0,COUNTA(K15:Y16)=0,COUNTA(AF15)=1),"【要修正】【２台目本体】品目が未入力、規格・数量・単価が未入力です。",
IF(AND(COUNTA(B15)=0,COUNTA(K15:Y16)&gt;=1,COUNTA(K15:Y16)&lt;3,COUNTA(AF15)=1),"【要修正】【２台目本体】品目が未入力、規格・数量・単価が入力不十分です。",
IF(AND(COUNTA(B15)=0,COUNTA(K15:Y16)=3,COUNTA(AF15)=1),"【要修正】【２台目本体】品目が未入力です。",
IF(AND(COUNTA(B15)=1,COUNTA(K15:Y16)=0,COUNTA(AF15)=1),"付属備品を経費計上しない場合は入力不要です。",
IF(AND(COUNTA(B15)=1,COUNTA(K15:Y16)&gt;=1,COUNTA(K15:Y16)&lt;3,COUNTA(AF15)=1),"【要修正】【２台目本体】規格・数量・単価が入力不十分です。",
IF(AND(COUNTA(B15)=1,COUNTA(K15:Y16)=3,COUNTA(AF15)=1),"全ての項目が入力されました。",))))))))))))</f>
        <v>１台のみの申請の場合は入力不要です。</v>
      </c>
    </row>
    <row r="15" spans="2:83" ht="18.75" customHeight="1" x14ac:dyDescent="0.55000000000000004">
      <c r="B15" s="556"/>
      <c r="C15" s="570"/>
      <c r="D15" s="570"/>
      <c r="E15" s="570"/>
      <c r="F15" s="570"/>
      <c r="G15" s="571"/>
      <c r="H15" s="538" t="s">
        <v>194</v>
      </c>
      <c r="I15" s="539"/>
      <c r="J15" s="540"/>
      <c r="K15" s="556"/>
      <c r="L15" s="557"/>
      <c r="M15" s="557"/>
      <c r="N15" s="557"/>
      <c r="O15" s="557"/>
      <c r="P15" s="558"/>
      <c r="Q15" s="562"/>
      <c r="R15" s="563"/>
      <c r="S15" s="564"/>
      <c r="T15" s="544"/>
      <c r="U15" s="545"/>
      <c r="V15" s="545"/>
      <c r="W15" s="545"/>
      <c r="X15" s="545"/>
      <c r="Y15" s="546"/>
      <c r="Z15" s="550">
        <f>Q15*T15</f>
        <v>0</v>
      </c>
      <c r="AA15" s="551"/>
      <c r="AB15" s="551"/>
      <c r="AC15" s="551"/>
      <c r="AD15" s="551"/>
      <c r="AE15" s="552"/>
      <c r="AF15" s="581"/>
      <c r="AG15" s="582"/>
      <c r="AH15" s="582"/>
      <c r="AI15" s="582"/>
      <c r="AJ15" s="582"/>
      <c r="AK15" s="583"/>
      <c r="BO15" s="65"/>
      <c r="BP15" s="608"/>
      <c r="BQ15" s="608"/>
      <c r="BR15" s="608"/>
      <c r="BS15" s="63" t="s">
        <v>216</v>
      </c>
      <c r="BT15" s="66" t="str">
        <f xml:space="preserve">
IF(AND(COUNTA(B15)=0,COUNTA(K17:Y18)=0,COUNTA(AF15)=0),"○",
IF(AND(COUNTA(B15)=0,COUNTA(K17:Y18)&gt;=1,COUNTA(K17:Y18)&lt;3,COUNTA(AF15)=0),"×",
IF(AND(COUNTA(B15)=0,COUNTA(K17:Y18)=3,COUNTA(AF15)=0),"×",
IF(AND(COUNTA(B15)=1,COUNTA(K17:Y18)=0,COUNTA(AF15)=0),"×",
IF(AND(COUNTA(B15)=1,COUNTA(K17:Y18)&gt;=1,COUNTA(K17:Y18)&lt;3,COUNTA(AF15)=0),"×",
IF(AND(COUNTA(B15)=1,COUNTA(K17:Y18)=3,COUNTA(AF15)=0),"×",
IF(AND(COUNTA(B15)=0,COUNTA(K17:Y18)=0,COUNTA(AF15)=1),"×",
IF(AND(COUNTA(B15)=0,COUNTA(K17:Y18)&gt;=1,COUNTA(K17:Y18)&lt;3,COUNTA(AF15)=1),"×",
IF(AND(COUNTA(B15)=0,COUNTA(K17:Y18)=3,COUNTA(AF15)=1),"×",
IF(AND(COUNTA(B15)=1,COUNTA(K17:Y18)=0,COUNTA(AF15)=1),"○",
IF(AND(COUNTA(B15)=1,COUNTA(K17:Y18)&gt;=1,COUNTA(K17:Y18)&lt;3,COUNTA(AF15)=1),"×",
IF(AND(COUNTA(B15)=1,COUNTA(K17:Y18)=3,COUNTA(AF15)=1),"○",))))))))))))</f>
        <v>○</v>
      </c>
      <c r="BU15" s="18" t="str">
        <f xml:space="preserve">
IF(AND(COUNTA(B15)=0,COUNTA(K17:Y18)=0,COUNTA(AF15)=0),"１台のみの申請の場合は入力不要です。",
IF(AND(COUNTA(B15)=0,COUNTA(K17:Y18)&gt;=1,COUNTA(K17:Y18)&lt;3,COUNTA(AF15)=0),"【要修正】【２台目付属備品4】品目が未入力、規格・数量・単価が入力不十分、分析可能見込件数が未入力です。",
IF(AND(COUNTA(B15)=0,COUNTA(K17:Y18)=3,COUNTA(AF15)=0),"【要修正】【２台目付属備品4】品目が未入力、分析可能見込件数が未入力です。",
IF(AND(COUNTA(B15)=1,COUNTA(K17:Y18)=0,COUNTA(AF15)=0),"【要修正】【２台目付属備品4】規格・数量・単価が未入力、分析可能見込件数が未入力です。",
IF(AND(COUNTA(B15)=1,COUNTA(K17:Y18)&gt;=1,COUNTA(K17:Y18)&lt;3,COUNTA(AF15)=0),"【要修正】【２台目付属備品4】規格・数量・単価が入力不十分、分析可能見込件数が未入力です。",
IF(AND(COUNTA(B15)=1,COUNTA(K17:Y18)=3,COUNTA(AF15)=0),"【要修正】【２台目付属備品4】分析可能見込件数が未入力です。",
IF(AND(COUNTA(B15)=0,COUNTA(K17:Y18)=0,COUNTA(AF15)=1),"【要修正】【２台目付属備品4】品目が未入力、規格・数量・単価が未入力です。",
IF(AND(COUNTA(B15)=0,COUNTA(K17:Y18)&gt;=1,COUNTA(K17:Y18)&lt;3,COUNTA(AF15)=1),"【要修正】【２台目付属備品4】品目が未入力、規格・数量・単価が入力不十分です。",
IF(AND(COUNTA(B15)=0,COUNTA(K17:Y18)=3,COUNTA(AF15)=1),"【要修正】【２台目付属備品4】品目が未入力です。",
IF(AND(COUNTA(B15)=1,COUNTA(K17:Y18)=0,COUNTA(AF15)=1),"付属備品を経費計上しない場合は入力不要です。",
IF(AND(COUNTA(B15)=1,COUNTA(K17:Y18)&gt;=1,COUNTA(K17:Y18)&lt;3,COUNTA(AF15)=1),"【要修正】【２台目付属備品4】規格・数量・単価が入力不十分です。",
IF(AND(COUNTA(B15)=1,COUNTA(K17:Y18)=3,COUNTA(AF15)=1),"全ての項目が入力されました。",))))))))))))</f>
        <v>１台のみの申請の場合は入力不要です。</v>
      </c>
    </row>
    <row r="16" spans="2:83" ht="18.75" customHeight="1" x14ac:dyDescent="0.55000000000000004">
      <c r="B16" s="572"/>
      <c r="C16" s="573"/>
      <c r="D16" s="573"/>
      <c r="E16" s="573"/>
      <c r="F16" s="573"/>
      <c r="G16" s="574"/>
      <c r="H16" s="541"/>
      <c r="I16" s="542"/>
      <c r="J16" s="543"/>
      <c r="K16" s="559"/>
      <c r="L16" s="560"/>
      <c r="M16" s="560"/>
      <c r="N16" s="560"/>
      <c r="O16" s="560"/>
      <c r="P16" s="561"/>
      <c r="Q16" s="565"/>
      <c r="R16" s="566"/>
      <c r="S16" s="567"/>
      <c r="T16" s="547"/>
      <c r="U16" s="548"/>
      <c r="V16" s="548"/>
      <c r="W16" s="548"/>
      <c r="X16" s="548"/>
      <c r="Y16" s="549"/>
      <c r="Z16" s="553"/>
      <c r="AA16" s="554"/>
      <c r="AB16" s="554"/>
      <c r="AC16" s="554"/>
      <c r="AD16" s="554"/>
      <c r="AE16" s="555"/>
      <c r="AF16" s="584"/>
      <c r="AG16" s="585"/>
      <c r="AH16" s="585"/>
      <c r="AI16" s="585"/>
      <c r="AJ16" s="585"/>
      <c r="AK16" s="586"/>
      <c r="BO16" s="65"/>
      <c r="BP16" s="608"/>
      <c r="BQ16" s="608"/>
      <c r="BR16" s="608"/>
      <c r="BS16" s="63" t="s">
        <v>218</v>
      </c>
      <c r="BT16" s="66" t="str">
        <f xml:space="preserve">
IF(AND(COUNTA(B15)=0,COUNTA(K19:Y20)=0,COUNTA(AF15)=0),"○",
IF(AND(COUNTA(B15)=0,COUNTA(K19:Y20)&gt;=1,COUNTA(K19:Y20)&lt;3,COUNTA(AF15)=0),"×",
IF(AND(COUNTA(B15)=0,COUNTA(K19:Y20)=3,COUNTA(AF15)=0),"×",
IF(AND(COUNTA(B15)=1,COUNTA(K19:Y20)=0,COUNTA(AF15)=0),"×",
IF(AND(COUNTA(B15)=1,COUNTA(K19:Y20)&gt;=1,COUNTA(K19:Y20)&lt;3,COUNTA(AF15)=0),"×",
IF(AND(COUNTA(B15)=1,COUNTA(K19:Y20)=3,COUNTA(AF15)=0),"×",
IF(AND(COUNTA(B15)=0,COUNTA(K19:Y20)=0,COUNTA(AF15)=1),"×",
IF(AND(COUNTA(B15)=0,COUNTA(K19:Y20)&gt;=1,COUNTA(K19:Y20)&lt;3,COUNTA(AF15)=1),"×",
IF(AND(COUNTA(B15)=0,COUNTA(K19:Y20)=3,COUNTA(AF15)=1),"×",
IF(AND(COUNTA(B15)=1,COUNTA(K19:Y20)=0,COUNTA(AF15)=1),"○",
IF(AND(COUNTA(B15)=1,COUNTA(K19:Y20)&gt;=1,COUNTA(K19:Y20)&lt;3,COUNTA(AF15)=1),"×",
IF(AND(COUNTA(B15)=1,COUNTA(K19:Y20)=3,COUNTA(AF15)=1),"○",))))))))))))</f>
        <v>○</v>
      </c>
      <c r="BU16" s="18" t="str">
        <f xml:space="preserve">
IF(AND(COUNTA(B15)=0,COUNTA(K19:Y20)=0,COUNTA(AF15)=0),"１台のみの申請の場合は入力不要です。",
IF(AND(COUNTA(B15)=0,COUNTA(K19:Y20)&gt;=1,COUNTA(K19:Y20)&lt;3,COUNTA(AF15)=0),"【要修正】【２台目付属備品5】品目が未入力、規格・数量・単価が入力不十分、分析可能見込件数が未入力です。",
IF(AND(COUNTA(B15)=0,COUNTA(K19:Y20)=3,COUNTA(AF15)=0),"【要修正】【２台目付属備品5】品目が未入力、分析可能見込件数が未入力です。",
IF(AND(COUNTA(B15)=1,COUNTA(K19:Y20)=0,COUNTA(AF15)=0),"【要修正】【２台目付属備品5】規格・数量・単価が未入力、分析可能見込件数が未入力です。",
IF(AND(COUNTA(B15)=1,COUNTA(K19:Y20)&gt;=1,COUNTA(K19:Y20)&lt;3,COUNTA(AF15)=0),"【要修正】【２台目付属備品5】規格・数量・単価が入力不十分、分析可能見込件数が未入力です。",
IF(AND(COUNTA(B15)=1,COUNTA(K19:Y20)=3,COUNTA(AF15)=0),"【要修正】【２台目付属備品5】分析可能見込件数が未入力です。",
IF(AND(COUNTA(B15)=0,COUNTA(K19:Y20)=0,COUNTA(AF15)=1),"【要修正】【２台目付属備品5】品目が未入力、規格・数量・単価が未入力です。",
IF(AND(COUNTA(B15)=0,COUNTA(K19:Y20)&gt;=1,COUNTA(K19:Y20)&lt;3,COUNTA(AF15)=1),"【要修正】【２台目付属備品5】品目が未入力、規格・数量・単価が入力不十分です。",
IF(AND(COUNTA(B15)=0,COUNTA(K19:Y20)=3,COUNTA(AF15)=1),"【要修正】【２台目付属備品5】品目が未入力です。",
IF(AND(COUNTA(B15)=1,COUNTA(K19:Y20)=0,COUNTA(AF15)=1),"付属備品を経費計上しない場合は入力不要です。",
IF(AND(COUNTA(B15)=1,COUNTA(K19:Y20)&gt;=1,COUNTA(K19:Y20)&lt;3,COUNTA(AF15)=1),"【要修正】【２台目付属備品5】規格・数量・単価が入力不十分です。",
IF(AND(COUNTA(B15)=1,COUNTA(K19:Y20)=3,COUNTA(AF15)=1),"全ての項目が入力されました。",))))))))))))</f>
        <v>１台のみの申請の場合は入力不要です。</v>
      </c>
    </row>
    <row r="17" spans="2:84" x14ac:dyDescent="0.55000000000000004">
      <c r="B17" s="572"/>
      <c r="C17" s="573"/>
      <c r="D17" s="573"/>
      <c r="E17" s="573"/>
      <c r="F17" s="573"/>
      <c r="G17" s="574"/>
      <c r="H17" s="538" t="s">
        <v>201</v>
      </c>
      <c r="I17" s="539"/>
      <c r="J17" s="540"/>
      <c r="K17" s="556"/>
      <c r="L17" s="557"/>
      <c r="M17" s="557"/>
      <c r="N17" s="557"/>
      <c r="O17" s="557"/>
      <c r="P17" s="558"/>
      <c r="Q17" s="562"/>
      <c r="R17" s="563"/>
      <c r="S17" s="564"/>
      <c r="T17" s="544"/>
      <c r="U17" s="545"/>
      <c r="V17" s="545"/>
      <c r="W17" s="545"/>
      <c r="X17" s="545"/>
      <c r="Y17" s="546"/>
      <c r="Z17" s="550">
        <f>Q17*T17</f>
        <v>0</v>
      </c>
      <c r="AA17" s="551"/>
      <c r="AB17" s="551"/>
      <c r="AC17" s="551"/>
      <c r="AD17" s="551"/>
      <c r="AE17" s="552"/>
      <c r="AF17" s="584"/>
      <c r="AG17" s="587"/>
      <c r="AH17" s="587"/>
      <c r="AI17" s="587"/>
      <c r="AJ17" s="587"/>
      <c r="AK17" s="586"/>
      <c r="BO17" s="65"/>
      <c r="BP17" s="608"/>
      <c r="BQ17" s="608"/>
      <c r="BR17" s="608"/>
      <c r="BS17" s="63" t="s">
        <v>219</v>
      </c>
      <c r="BT17" s="66" t="str">
        <f xml:space="preserve">
IF(AND(COUNTA(B15)=0,COUNTA(K21:Y22)=0,COUNTA(AF15)=0),"○",
IF(AND(COUNTA(B15)=0,COUNTA(K21:Y22)&gt;=1,COUNTA(K21:Y22)&lt;3,COUNTA(AF15)=0),"×",
IF(AND(COUNTA(B15)=0,COUNTA(K21:Y22)=3,COUNTA(AF15)=0),"×",
IF(AND(COUNTA(B15)=1,COUNTA(K21:Y22)=0,COUNTA(AF15)=0),"×",
IF(AND(COUNTA(B15)=1,COUNTA(K21:Y22)&gt;=1,COUNTA(K21:Y22)&lt;3,COUNTA(AF15)=0),"×",
IF(AND(COUNTA(B15)=1,COUNTA(K21:Y22)=3,COUNTA(AF15)=0),"×",
IF(AND(COUNTA(B15)=0,COUNTA(K21:Y22)=0,COUNTA(AF15)=1),"×",
IF(AND(COUNTA(B15)=0,COUNTA(K21:Y22)&gt;=1,COUNTA(K21:Y22)&lt;3,COUNTA(AF15)=1),"×",
IF(AND(COUNTA(B15)=0,COUNTA(K21:Y22)=3,COUNTA(AF15)=1),"×",
IF(AND(COUNTA(B15)=1,COUNTA(K21:Y22)=0,COUNTA(AF15)=1),"○",
IF(AND(COUNTA(B15)=1,COUNTA(K21:Y22)&gt;=1,COUNTA(K21:Y22)&lt;3,COUNTA(AF15)=1),"×",
IF(AND(COUNTA(B15)=1,COUNTA(K21:Y22)=3,COUNTA(AF15)=1),"○",))))))))))))</f>
        <v>○</v>
      </c>
      <c r="BU17" s="18" t="str">
        <f xml:space="preserve">
IF(AND(COUNTA(B15)=0,COUNTA(K21:Y22)=0,COUNTA(AF15)=0),"１台のみの申請の場合は入力不要です。",
IF(AND(COUNTA(B15)=0,COUNTA(K21:Y22)&gt;=1,COUNTA(K21:Y22)&lt;3,COUNTA(AF15)=0),"【要修正】【２台目付属備品6】品目が未入力、規格・数量・単価が入力不十分、分析可能見込件数が未入力です。",
IF(AND(COUNTA(B15)=0,COUNTA(K21:Y22)=3,COUNTA(AF15)=0),"【要修正】【２台目付属備品6】品目が未入力、分析可能見込件数が未入力です。",
IF(AND(COUNTA(B15)=1,COUNTA(K21:Y22)=0,COUNTA(AF15)=0),"【要修正】【２台目付属備品6】規格・数量・単価が未入力、分析可能見込件数が未入力です。",
IF(AND(COUNTA(B15)=1,COUNTA(K21:Y22)&gt;=1,COUNTA(K21:Y22)&lt;3,COUNTA(AF15)=0),"【要修正】【２台目付属備品6】規格・数量・単価が入力不十分、分析可能見込件数が未入力です。",
IF(AND(COUNTA(B15)=1,COUNTA(K21:Y22)=3,COUNTA(AF15)=0),"【要修正】【２台目付属備品6】分析可能見込件数が未入力です。",
IF(AND(COUNTA(B15)=0,COUNTA(K21:Y22)=0,COUNTA(AF15)=1),"【要修正】【２台目付属備品6】品目が未入力、規格・数量・単価が未入力です。",
IF(AND(COUNTA(B15)=0,COUNTA(K21:Y22)&gt;=1,COUNTA(K21:Y22)&lt;3,COUNTA(AF15)=1),"【要修正】【２台目付属備品6】品目が未入力、規格・数量・単価が入力不十分です。",
IF(AND(COUNTA(B15)=0,COUNTA(K21:Y22)=3,COUNTA(AF15)=1),"【要修正】【２台目付属備品6】品目が未入力です。",
IF(AND(COUNTA(B15)=1,COUNTA(K21:Y22)=0,COUNTA(AF15)=1),"付属備品を経費計上しない場合は入力不要です。",
IF(AND(COUNTA(B15)=1,COUNTA(K21:Y22)&gt;=1,COUNTA(K21:Y22)&lt;3,COUNTA(AF15)=1),"【要修正】【２台目付属備品6】規格・数量・単価が入力不十分です。",
IF(AND(COUNTA(B15)=1,COUNTA(K21:Y22)=3,COUNTA(AF15)=1),"全ての項目が入力されました。",))))))))))))</f>
        <v>１台のみの申請の場合は入力不要です。</v>
      </c>
    </row>
    <row r="18" spans="2:84" x14ac:dyDescent="0.55000000000000004">
      <c r="B18" s="575"/>
      <c r="C18" s="576"/>
      <c r="D18" s="576"/>
      <c r="E18" s="576"/>
      <c r="F18" s="576"/>
      <c r="G18" s="577"/>
      <c r="H18" s="541"/>
      <c r="I18" s="542"/>
      <c r="J18" s="543"/>
      <c r="K18" s="559"/>
      <c r="L18" s="560"/>
      <c r="M18" s="560"/>
      <c r="N18" s="560"/>
      <c r="O18" s="560"/>
      <c r="P18" s="561"/>
      <c r="Q18" s="565"/>
      <c r="R18" s="566"/>
      <c r="S18" s="567"/>
      <c r="T18" s="547"/>
      <c r="U18" s="548"/>
      <c r="V18" s="548"/>
      <c r="W18" s="548"/>
      <c r="X18" s="548"/>
      <c r="Y18" s="549"/>
      <c r="Z18" s="553"/>
      <c r="AA18" s="554"/>
      <c r="AB18" s="554"/>
      <c r="AC18" s="554"/>
      <c r="AD18" s="554"/>
      <c r="AE18" s="555"/>
      <c r="AF18" s="584"/>
      <c r="AG18" s="587"/>
      <c r="AH18" s="587"/>
      <c r="AI18" s="587"/>
      <c r="AJ18" s="587"/>
      <c r="AK18" s="586"/>
      <c r="BO18" s="65"/>
      <c r="BP18" s="386"/>
      <c r="BQ18" s="386"/>
      <c r="BR18" s="386"/>
      <c r="BS18" s="63" t="s">
        <v>217</v>
      </c>
      <c r="BT18" s="66" t="str">
        <f>IF(COUNTA(AF14)=1,"○","○")</f>
        <v>○</v>
      </c>
      <c r="BU18" s="18" t="str">
        <f>IF(COUNTA(AF15)=1,"分析可能見込件数が正常に入力されました。","１台のみの申請の場合は入力不要です。")</f>
        <v>１台のみの申請の場合は入力不要です。</v>
      </c>
    </row>
    <row r="19" spans="2:84" x14ac:dyDescent="0.55000000000000004">
      <c r="B19" s="575"/>
      <c r="C19" s="576"/>
      <c r="D19" s="576"/>
      <c r="E19" s="576"/>
      <c r="F19" s="576"/>
      <c r="G19" s="577"/>
      <c r="H19" s="538" t="s">
        <v>202</v>
      </c>
      <c r="I19" s="539"/>
      <c r="J19" s="540"/>
      <c r="K19" s="556"/>
      <c r="L19" s="557"/>
      <c r="M19" s="557"/>
      <c r="N19" s="557"/>
      <c r="O19" s="557"/>
      <c r="P19" s="558"/>
      <c r="Q19" s="562"/>
      <c r="R19" s="563"/>
      <c r="S19" s="564"/>
      <c r="T19" s="544"/>
      <c r="U19" s="545"/>
      <c r="V19" s="545"/>
      <c r="W19" s="545"/>
      <c r="X19" s="545"/>
      <c r="Y19" s="546"/>
      <c r="Z19" s="550">
        <f>Q19*T19</f>
        <v>0</v>
      </c>
      <c r="AA19" s="551"/>
      <c r="AB19" s="551"/>
      <c r="AC19" s="551"/>
      <c r="AD19" s="551"/>
      <c r="AE19" s="552"/>
      <c r="AF19" s="584"/>
      <c r="AG19" s="587"/>
      <c r="AH19" s="587"/>
      <c r="AI19" s="587"/>
      <c r="AJ19" s="587"/>
      <c r="AK19" s="586"/>
      <c r="BO19" s="65"/>
    </row>
    <row r="20" spans="2:84" x14ac:dyDescent="0.55000000000000004">
      <c r="B20" s="575"/>
      <c r="C20" s="576"/>
      <c r="D20" s="576"/>
      <c r="E20" s="576"/>
      <c r="F20" s="576"/>
      <c r="G20" s="577"/>
      <c r="H20" s="541"/>
      <c r="I20" s="542"/>
      <c r="J20" s="543"/>
      <c r="K20" s="559"/>
      <c r="L20" s="560"/>
      <c r="M20" s="560"/>
      <c r="N20" s="560"/>
      <c r="O20" s="560"/>
      <c r="P20" s="561"/>
      <c r="Q20" s="565"/>
      <c r="R20" s="566"/>
      <c r="S20" s="567"/>
      <c r="T20" s="547"/>
      <c r="U20" s="548"/>
      <c r="V20" s="548"/>
      <c r="W20" s="548"/>
      <c r="X20" s="548"/>
      <c r="Y20" s="549"/>
      <c r="Z20" s="553"/>
      <c r="AA20" s="554"/>
      <c r="AB20" s="554"/>
      <c r="AC20" s="554"/>
      <c r="AD20" s="554"/>
      <c r="AE20" s="555"/>
      <c r="AF20" s="584"/>
      <c r="AG20" s="587"/>
      <c r="AH20" s="587"/>
      <c r="AI20" s="587"/>
      <c r="AJ20" s="587"/>
      <c r="AK20" s="586"/>
      <c r="BO20" s="65"/>
      <c r="BT20" s="16"/>
    </row>
    <row r="21" spans="2:84" x14ac:dyDescent="0.55000000000000004">
      <c r="B21" s="575"/>
      <c r="C21" s="576"/>
      <c r="D21" s="576"/>
      <c r="E21" s="576"/>
      <c r="F21" s="576"/>
      <c r="G21" s="577"/>
      <c r="H21" s="538" t="s">
        <v>203</v>
      </c>
      <c r="I21" s="539"/>
      <c r="J21" s="540"/>
      <c r="K21" s="556"/>
      <c r="L21" s="557"/>
      <c r="M21" s="557"/>
      <c r="N21" s="557"/>
      <c r="O21" s="557"/>
      <c r="P21" s="558"/>
      <c r="Q21" s="562"/>
      <c r="R21" s="563"/>
      <c r="S21" s="564"/>
      <c r="T21" s="544"/>
      <c r="U21" s="545"/>
      <c r="V21" s="545"/>
      <c r="W21" s="545"/>
      <c r="X21" s="545"/>
      <c r="Y21" s="546"/>
      <c r="Z21" s="550">
        <f>Q21*T21</f>
        <v>0</v>
      </c>
      <c r="AA21" s="551"/>
      <c r="AB21" s="551"/>
      <c r="AC21" s="551"/>
      <c r="AD21" s="551"/>
      <c r="AE21" s="552"/>
      <c r="AF21" s="584"/>
      <c r="AG21" s="587"/>
      <c r="AH21" s="587"/>
      <c r="AI21" s="587"/>
      <c r="AJ21" s="587"/>
      <c r="AK21" s="586"/>
      <c r="BO21" s="65"/>
      <c r="BT21" s="16"/>
    </row>
    <row r="22" spans="2:84" x14ac:dyDescent="0.55000000000000004">
      <c r="B22" s="578"/>
      <c r="C22" s="579"/>
      <c r="D22" s="579"/>
      <c r="E22" s="579"/>
      <c r="F22" s="579"/>
      <c r="G22" s="580"/>
      <c r="H22" s="541"/>
      <c r="I22" s="542"/>
      <c r="J22" s="543"/>
      <c r="K22" s="559"/>
      <c r="L22" s="560"/>
      <c r="M22" s="560"/>
      <c r="N22" s="560"/>
      <c r="O22" s="560"/>
      <c r="P22" s="561"/>
      <c r="Q22" s="565"/>
      <c r="R22" s="566"/>
      <c r="S22" s="567"/>
      <c r="T22" s="547"/>
      <c r="U22" s="548"/>
      <c r="V22" s="548"/>
      <c r="W22" s="548"/>
      <c r="X22" s="548"/>
      <c r="Y22" s="549"/>
      <c r="Z22" s="553"/>
      <c r="AA22" s="554"/>
      <c r="AB22" s="554"/>
      <c r="AC22" s="554"/>
      <c r="AD22" s="554"/>
      <c r="AE22" s="555"/>
      <c r="AF22" s="588"/>
      <c r="AG22" s="589"/>
      <c r="AH22" s="589"/>
      <c r="AI22" s="589"/>
      <c r="AJ22" s="589"/>
      <c r="AK22" s="590"/>
      <c r="BO22" s="65"/>
      <c r="BT22" s="16"/>
    </row>
    <row r="23" spans="2:84" x14ac:dyDescent="0.55000000000000004">
      <c r="B23" s="527" t="s">
        <v>145</v>
      </c>
      <c r="C23" s="528"/>
      <c r="D23" s="528"/>
      <c r="E23" s="528"/>
      <c r="F23" s="528"/>
      <c r="G23" s="528"/>
      <c r="H23" s="528"/>
      <c r="I23" s="528"/>
      <c r="J23" s="528"/>
      <c r="K23" s="528"/>
      <c r="L23" s="528"/>
      <c r="M23" s="528"/>
      <c r="N23" s="528"/>
      <c r="O23" s="528"/>
      <c r="P23" s="528"/>
      <c r="Q23" s="528"/>
      <c r="R23" s="528"/>
      <c r="S23" s="528"/>
      <c r="T23" s="528"/>
      <c r="U23" s="528"/>
      <c r="V23" s="528"/>
      <c r="W23" s="528"/>
      <c r="X23" s="528"/>
      <c r="Y23" s="528"/>
      <c r="Z23" s="530">
        <f>SUM(Z7:AE22)</f>
        <v>0</v>
      </c>
      <c r="AA23" s="531"/>
      <c r="AB23" s="531"/>
      <c r="AC23" s="531"/>
      <c r="AD23" s="531"/>
      <c r="AE23" s="531"/>
      <c r="AF23" s="533">
        <f>SUM(Q7*AF7,Q15*AF15)</f>
        <v>0</v>
      </c>
      <c r="AG23" s="534"/>
      <c r="AH23" s="534"/>
      <c r="AI23" s="534"/>
      <c r="AJ23" s="534"/>
      <c r="AK23" s="534"/>
      <c r="BT23" s="16"/>
    </row>
    <row r="24" spans="2:84" x14ac:dyDescent="0.55000000000000004">
      <c r="B24" s="529"/>
      <c r="C24" s="529"/>
      <c r="D24" s="529"/>
      <c r="E24" s="529"/>
      <c r="F24" s="529"/>
      <c r="G24" s="529"/>
      <c r="H24" s="529"/>
      <c r="I24" s="529"/>
      <c r="J24" s="529"/>
      <c r="K24" s="529"/>
      <c r="L24" s="529"/>
      <c r="M24" s="529"/>
      <c r="N24" s="529"/>
      <c r="O24" s="529"/>
      <c r="P24" s="529"/>
      <c r="Q24" s="529"/>
      <c r="R24" s="529"/>
      <c r="S24" s="529"/>
      <c r="T24" s="529"/>
      <c r="U24" s="529"/>
      <c r="V24" s="529"/>
      <c r="W24" s="529"/>
      <c r="X24" s="529"/>
      <c r="Y24" s="529"/>
      <c r="Z24" s="532"/>
      <c r="AA24" s="532"/>
      <c r="AB24" s="532"/>
      <c r="AC24" s="532"/>
      <c r="AD24" s="532"/>
      <c r="AE24" s="532"/>
      <c r="AF24" s="477"/>
      <c r="AG24" s="477"/>
      <c r="AH24" s="477"/>
      <c r="AI24" s="477"/>
      <c r="AJ24" s="477"/>
      <c r="AK24" s="477"/>
      <c r="AU24" s="602"/>
      <c r="AV24" s="602"/>
      <c r="AW24" s="602"/>
      <c r="BT24" s="16"/>
    </row>
    <row r="25" spans="2:84" x14ac:dyDescent="0.55000000000000004">
      <c r="B25" s="17" t="s">
        <v>118</v>
      </c>
      <c r="D25" s="17"/>
      <c r="E25" s="17"/>
      <c r="F25" s="17"/>
      <c r="G25" s="17"/>
      <c r="H25" s="17"/>
      <c r="AU25" s="602"/>
      <c r="AV25" s="602"/>
      <c r="AW25" s="602"/>
      <c r="CF25" s="607"/>
    </row>
    <row r="26" spans="2:84" x14ac:dyDescent="0.55000000000000004">
      <c r="B26" s="15" t="s">
        <v>228</v>
      </c>
      <c r="AU26" s="381"/>
      <c r="AV26" s="381"/>
      <c r="AW26" s="381"/>
      <c r="CF26" s="382"/>
    </row>
    <row r="27" spans="2:84" x14ac:dyDescent="0.55000000000000004">
      <c r="AU27" s="602"/>
      <c r="AV27" s="602"/>
      <c r="AW27" s="602"/>
      <c r="CF27" s="382"/>
    </row>
    <row r="28" spans="2:84" ht="26.5" hidden="1" x14ac:dyDescent="0.55000000000000004">
      <c r="B28" s="535" t="str">
        <f xml:space="preserve">
IF(表紙!V8="交付申請","【２　現在の設備保有状況（付帯設備を除く）】",
IF(表紙!V8="変更申請","【２　現在の設備保有状況（付帯設備を除く）】",
IF(表紙!V8="実績報告","－")))</f>
        <v>－</v>
      </c>
      <c r="C28" s="536"/>
      <c r="D28" s="536"/>
      <c r="E28" s="536"/>
      <c r="F28" s="536"/>
      <c r="G28" s="536"/>
      <c r="H28" s="536"/>
      <c r="I28" s="536"/>
      <c r="J28" s="536"/>
      <c r="K28" s="536"/>
      <c r="L28" s="536"/>
      <c r="M28" s="536"/>
      <c r="N28" s="536"/>
      <c r="O28" s="536"/>
      <c r="P28" s="536"/>
      <c r="Q28" s="536"/>
      <c r="R28" s="536"/>
      <c r="S28" s="536"/>
      <c r="T28" s="536"/>
      <c r="U28" s="536"/>
      <c r="V28" s="536"/>
      <c r="W28" s="536"/>
      <c r="X28" s="536"/>
      <c r="Y28" s="536"/>
      <c r="Z28" s="536"/>
      <c r="AA28" s="536"/>
      <c r="AB28" s="536"/>
      <c r="AC28" s="536"/>
      <c r="AD28" s="536"/>
      <c r="AE28" s="536"/>
      <c r="AF28" s="536"/>
      <c r="AG28" s="536"/>
      <c r="AH28" s="536"/>
      <c r="AI28" s="536"/>
      <c r="AJ28" s="536"/>
      <c r="AK28" s="536"/>
      <c r="AU28" s="381"/>
      <c r="AV28" s="381"/>
      <c r="AW28" s="381"/>
    </row>
    <row r="29" spans="2:84" hidden="1" x14ac:dyDescent="0.55000000000000004">
      <c r="B29" s="463" t="s">
        <v>116</v>
      </c>
      <c r="C29" s="462"/>
      <c r="D29" s="462"/>
      <c r="E29" s="462"/>
      <c r="F29" s="462"/>
      <c r="G29" s="462"/>
      <c r="H29" s="463" t="s">
        <v>117</v>
      </c>
      <c r="I29" s="462"/>
      <c r="J29" s="462"/>
      <c r="K29" s="462"/>
      <c r="L29" s="462"/>
      <c r="M29" s="462"/>
      <c r="N29" s="537" t="s">
        <v>37</v>
      </c>
      <c r="O29" s="454"/>
      <c r="P29" s="454"/>
      <c r="Q29" s="454"/>
      <c r="R29" s="454"/>
      <c r="S29" s="455"/>
      <c r="T29" s="453" t="s">
        <v>152</v>
      </c>
      <c r="U29" s="482"/>
      <c r="V29" s="482"/>
      <c r="W29" s="482"/>
      <c r="X29" s="482"/>
      <c r="Y29" s="483"/>
      <c r="Z29" s="537" t="s">
        <v>153</v>
      </c>
      <c r="AA29" s="454"/>
      <c r="AB29" s="454"/>
      <c r="AC29" s="454"/>
      <c r="AD29" s="454"/>
      <c r="AE29" s="455"/>
      <c r="AF29" s="463" t="s">
        <v>146</v>
      </c>
      <c r="AG29" s="462"/>
      <c r="AH29" s="462"/>
      <c r="AI29" s="462"/>
      <c r="AJ29" s="462"/>
      <c r="AK29" s="462"/>
      <c r="AP29" s="602"/>
      <c r="AQ29" s="602"/>
      <c r="AR29" s="602"/>
      <c r="AU29" s="381"/>
      <c r="AV29" s="381"/>
      <c r="AW29" s="381"/>
    </row>
    <row r="30" spans="2:84" hidden="1" x14ac:dyDescent="0.55000000000000004">
      <c r="B30" s="463"/>
      <c r="C30" s="462"/>
      <c r="D30" s="462"/>
      <c r="E30" s="462"/>
      <c r="F30" s="462"/>
      <c r="G30" s="462"/>
      <c r="H30" s="463"/>
      <c r="I30" s="462"/>
      <c r="J30" s="462"/>
      <c r="K30" s="462"/>
      <c r="L30" s="462"/>
      <c r="M30" s="462"/>
      <c r="N30" s="458"/>
      <c r="O30" s="459"/>
      <c r="P30" s="459"/>
      <c r="Q30" s="459"/>
      <c r="R30" s="459"/>
      <c r="S30" s="460"/>
      <c r="T30" s="485"/>
      <c r="U30" s="486"/>
      <c r="V30" s="486"/>
      <c r="W30" s="486"/>
      <c r="X30" s="486"/>
      <c r="Y30" s="487"/>
      <c r="Z30" s="458"/>
      <c r="AA30" s="459"/>
      <c r="AB30" s="459"/>
      <c r="AC30" s="459"/>
      <c r="AD30" s="459"/>
      <c r="AE30" s="460"/>
      <c r="AF30" s="463"/>
      <c r="AG30" s="462"/>
      <c r="AH30" s="462"/>
      <c r="AI30" s="462"/>
      <c r="AJ30" s="462"/>
      <c r="AK30" s="462"/>
      <c r="AP30" s="381"/>
      <c r="AQ30" s="381"/>
      <c r="AR30" s="381"/>
      <c r="AU30" s="602"/>
      <c r="AV30" s="602"/>
      <c r="AW30" s="602"/>
      <c r="BP30" s="15" t="str">
        <f>B28</f>
        <v>－</v>
      </c>
    </row>
    <row r="31" spans="2:84" hidden="1" x14ac:dyDescent="0.55000000000000004">
      <c r="B31" s="514"/>
      <c r="C31" s="514"/>
      <c r="D31" s="514"/>
      <c r="E31" s="514"/>
      <c r="F31" s="514"/>
      <c r="G31" s="514"/>
      <c r="H31" s="514"/>
      <c r="I31" s="514"/>
      <c r="J31" s="514"/>
      <c r="K31" s="514"/>
      <c r="L31" s="514"/>
      <c r="M31" s="514"/>
      <c r="N31" s="515"/>
      <c r="O31" s="515"/>
      <c r="P31" s="515"/>
      <c r="Q31" s="515"/>
      <c r="R31" s="515"/>
      <c r="S31" s="515"/>
      <c r="T31" s="516"/>
      <c r="U31" s="516"/>
      <c r="V31" s="516"/>
      <c r="W31" s="516"/>
      <c r="X31" s="516"/>
      <c r="Y31" s="516"/>
      <c r="Z31" s="517">
        <f>N31*T31</f>
        <v>0</v>
      </c>
      <c r="AA31" s="517"/>
      <c r="AB31" s="517"/>
      <c r="AC31" s="517"/>
      <c r="AD31" s="517"/>
      <c r="AE31" s="517"/>
      <c r="AF31" s="605"/>
      <c r="AG31" s="605"/>
      <c r="AH31" s="605"/>
      <c r="AI31" s="605"/>
      <c r="AJ31" s="605"/>
      <c r="AK31" s="605"/>
      <c r="AP31" s="602"/>
      <c r="AQ31" s="602"/>
      <c r="AR31" s="602"/>
      <c r="AU31" s="381"/>
      <c r="AV31" s="381"/>
      <c r="AW31" s="381"/>
      <c r="BP31" s="63" t="s">
        <v>210</v>
      </c>
      <c r="BQ31" s="66" t="s">
        <v>211</v>
      </c>
      <c r="BR31" s="63" t="s">
        <v>207</v>
      </c>
      <c r="BS31" s="631" t="s">
        <v>208</v>
      </c>
      <c r="BT31" s="395"/>
      <c r="BU31" s="395"/>
    </row>
    <row r="32" spans="2:84" hidden="1" x14ac:dyDescent="0.55000000000000004">
      <c r="B32" s="514"/>
      <c r="C32" s="514"/>
      <c r="D32" s="514"/>
      <c r="E32" s="514"/>
      <c r="F32" s="514"/>
      <c r="G32" s="514"/>
      <c r="H32" s="514"/>
      <c r="I32" s="514"/>
      <c r="J32" s="514"/>
      <c r="K32" s="514"/>
      <c r="L32" s="514"/>
      <c r="M32" s="514"/>
      <c r="N32" s="515"/>
      <c r="O32" s="515"/>
      <c r="P32" s="515"/>
      <c r="Q32" s="515"/>
      <c r="R32" s="515"/>
      <c r="S32" s="515"/>
      <c r="T32" s="516"/>
      <c r="U32" s="516"/>
      <c r="V32" s="516"/>
      <c r="W32" s="516"/>
      <c r="X32" s="516"/>
      <c r="Y32" s="516"/>
      <c r="Z32" s="517"/>
      <c r="AA32" s="517"/>
      <c r="AB32" s="517"/>
      <c r="AC32" s="517"/>
      <c r="AD32" s="517"/>
      <c r="AE32" s="517"/>
      <c r="AF32" s="605"/>
      <c r="AG32" s="605"/>
      <c r="AH32" s="605"/>
      <c r="AI32" s="605"/>
      <c r="AJ32" s="605"/>
      <c r="AK32" s="605"/>
      <c r="AP32" s="381"/>
      <c r="AQ32" s="381"/>
      <c r="AR32" s="381"/>
      <c r="AU32" s="602"/>
      <c r="AV32" s="602"/>
      <c r="AW32" s="602"/>
      <c r="BP32" s="604" t="str">
        <f>IF(COUNTIF(BR32:BR33,"○")=2,"○",IF(COUNTIF(BR32:BR33,"×")&gt;=1,"×"))</f>
        <v>○</v>
      </c>
      <c r="BQ32" s="66" t="s">
        <v>204</v>
      </c>
      <c r="BR32" s="66" t="str">
        <f xml:space="preserve">
IF(COUNTA(B31,H31,N31,T31,AF31)=0,"○",
IF(AND(COUNTA(B31,H31,N31,T31,AF31)&lt;5,COUNTA(B31,H31,N31,T31,AF31)&gt;=1),"×",
IF(COUNTA(B31,H31,N31,T31,AF31)=5,"○")))</f>
        <v>○</v>
      </c>
      <c r="BS32" s="462" t="str">
        <f xml:space="preserve">
IF(COUNTA(B31:Y32,AF31)=0,"既存設備がない場合は入力不要です。",
IF(AND(COUNTA(B31:Y32,AF31)&lt;5,COUNTA(B31:Y32,AF31)&gt;=1),"【要修正】入力不十分の項目があるため御確認ください。→"&amp;BV32&amp;BW32&amp;BX32&amp;BY32&amp;BZ32,
IF(COUNTA(B31:Y32,AF31)=5,"全ての項目が入力されました。")))</f>
        <v>既存設備がない場合は入力不要です。</v>
      </c>
      <c r="BT32" s="632"/>
      <c r="BU32" s="632"/>
      <c r="BV32" s="15" t="str">
        <f>IF(COUNTA(B31)=1,"","品目/")&amp;IF(COUNTA(H31)=1,"","規格/")&amp;IF(COUNTA(N31)=1,"","台数/")&amp;IF(COUNTA(T31)=1,"","検査分析可能件数/")&amp;IF(COUNTA(AF31)=1,"","本補助金交付年度/")</f>
        <v>品目/規格/台数/検査分析可能件数/本補助金交付年度/</v>
      </c>
      <c r="BX32" s="15" t="str">
        <f>IF(COUNTA(N31)=1,"","台数/")</f>
        <v>台数/</v>
      </c>
      <c r="BY32" s="15" t="str">
        <f>IF(COUNTA(T31)=1,"","分析可能件数/")</f>
        <v>分析可能件数/</v>
      </c>
    </row>
    <row r="33" spans="2:84" hidden="1" x14ac:dyDescent="0.55000000000000004">
      <c r="B33" s="514"/>
      <c r="C33" s="514"/>
      <c r="D33" s="514"/>
      <c r="E33" s="514"/>
      <c r="F33" s="514"/>
      <c r="G33" s="514"/>
      <c r="H33" s="514"/>
      <c r="I33" s="514"/>
      <c r="J33" s="514"/>
      <c r="K33" s="514"/>
      <c r="L33" s="514"/>
      <c r="M33" s="514"/>
      <c r="N33" s="515"/>
      <c r="O33" s="515"/>
      <c r="P33" s="515"/>
      <c r="Q33" s="515"/>
      <c r="R33" s="515"/>
      <c r="S33" s="515"/>
      <c r="T33" s="516"/>
      <c r="U33" s="516"/>
      <c r="V33" s="516"/>
      <c r="W33" s="516"/>
      <c r="X33" s="516"/>
      <c r="Y33" s="516"/>
      <c r="Z33" s="517">
        <f>N33*T33</f>
        <v>0</v>
      </c>
      <c r="AA33" s="517"/>
      <c r="AB33" s="517"/>
      <c r="AC33" s="517"/>
      <c r="AD33" s="517"/>
      <c r="AE33" s="517"/>
      <c r="AF33" s="605"/>
      <c r="AG33" s="605"/>
      <c r="AH33" s="605"/>
      <c r="AI33" s="605"/>
      <c r="AJ33" s="605"/>
      <c r="AK33" s="605"/>
      <c r="AP33" s="602"/>
      <c r="AQ33" s="602"/>
      <c r="AR33" s="602"/>
      <c r="AU33" s="381"/>
      <c r="AV33" s="381"/>
      <c r="AW33" s="381"/>
      <c r="BP33" s="386"/>
      <c r="BQ33" s="66" t="s">
        <v>205</v>
      </c>
      <c r="BR33" s="66" t="str">
        <f xml:space="preserve">
IF(COUNTA(B33,H33,N33,T33,AF33)=0,"○",
IF(AND(COUNTA(B33,H33,N33,T33,AF33)&lt;5,COUNTA(B33,H33,N33,T33,AF33)&gt;=1),"×",
IF(COUNTA(B33,H33,N33,T33,AF33)=5,"○")))</f>
        <v>○</v>
      </c>
      <c r="BS33" s="462" t="str">
        <f xml:space="preserve">
IF(COUNTA(B33:Y34,AF33)=0,"既存設備がない場合は入力不要です。",
IF(AND(COUNTA(B33:Y34,AF33)&lt;5,COUNTA(B33:Y34,AF33)&gt;=1),"【要修正】入力不十分の項目があるため御確認ください。→"&amp;BV33&amp;BW33&amp;BX33&amp;BY33&amp;BZ33,
IF(COUNTA(B33:Y34,AF33)=5,"全ての項目が入力されました。")))</f>
        <v>既存設備がない場合は入力不要です。</v>
      </c>
      <c r="BT33" s="632"/>
      <c r="BU33" s="632"/>
      <c r="BV33" s="15" t="str">
        <f>IF(COUNTA(B33)=1,"","品目/")&amp;IF(COUNTA(H33)=1,"","規格/")&amp;IF(COUNTA(N33)=1,"","台数/")&amp;IF(COUNTA(T33)=1,"","検査分析可能件数/")&amp;IF(COUNTA(AF33)=1,"","本補助金交付年度/")</f>
        <v>品目/規格/台数/検査分析可能件数/本補助金交付年度/</v>
      </c>
    </row>
    <row r="34" spans="2:84" ht="20.5" hidden="1" thickBot="1" x14ac:dyDescent="0.6">
      <c r="B34" s="514"/>
      <c r="C34" s="514"/>
      <c r="D34" s="514"/>
      <c r="E34" s="514"/>
      <c r="F34" s="514"/>
      <c r="G34" s="514"/>
      <c r="H34" s="514"/>
      <c r="I34" s="514"/>
      <c r="J34" s="514"/>
      <c r="K34" s="514"/>
      <c r="L34" s="514"/>
      <c r="M34" s="514"/>
      <c r="N34" s="515"/>
      <c r="O34" s="515"/>
      <c r="P34" s="515"/>
      <c r="Q34" s="515"/>
      <c r="R34" s="515"/>
      <c r="S34" s="515"/>
      <c r="T34" s="516"/>
      <c r="U34" s="516"/>
      <c r="V34" s="516"/>
      <c r="W34" s="516"/>
      <c r="X34" s="516"/>
      <c r="Y34" s="516"/>
      <c r="Z34" s="517"/>
      <c r="AA34" s="517"/>
      <c r="AB34" s="517"/>
      <c r="AC34" s="517"/>
      <c r="AD34" s="517"/>
      <c r="AE34" s="517"/>
      <c r="AF34" s="605"/>
      <c r="AG34" s="605"/>
      <c r="AH34" s="605"/>
      <c r="AI34" s="605"/>
      <c r="AJ34" s="605"/>
      <c r="AK34" s="605"/>
      <c r="AP34" s="381"/>
      <c r="AQ34" s="381"/>
      <c r="AR34" s="381"/>
    </row>
    <row r="35" spans="2:84" ht="20.5" hidden="1" thickTop="1" x14ac:dyDescent="0.55000000000000004">
      <c r="B35" s="518" t="s">
        <v>128</v>
      </c>
      <c r="C35" s="519"/>
      <c r="D35" s="519"/>
      <c r="E35" s="519"/>
      <c r="F35" s="519"/>
      <c r="G35" s="519"/>
      <c r="H35" s="519"/>
      <c r="I35" s="519"/>
      <c r="J35" s="519"/>
      <c r="K35" s="519"/>
      <c r="L35" s="519"/>
      <c r="M35" s="520"/>
      <c r="N35" s="475">
        <f>SUM(N31:S34)</f>
        <v>0</v>
      </c>
      <c r="O35" s="476"/>
      <c r="P35" s="476"/>
      <c r="Q35" s="476"/>
      <c r="R35" s="476"/>
      <c r="S35" s="476"/>
      <c r="T35" s="478"/>
      <c r="U35" s="479"/>
      <c r="V35" s="479"/>
      <c r="W35" s="479"/>
      <c r="X35" s="479"/>
      <c r="Y35" s="479"/>
      <c r="Z35" s="481">
        <f>SUM(Z31:AE34)</f>
        <v>0</v>
      </c>
      <c r="AA35" s="476"/>
      <c r="AB35" s="476"/>
      <c r="AC35" s="476"/>
      <c r="AD35" s="476"/>
      <c r="AE35" s="476"/>
      <c r="AF35" s="478"/>
      <c r="AG35" s="479"/>
      <c r="AH35" s="479"/>
      <c r="AI35" s="479"/>
      <c r="AJ35" s="479"/>
      <c r="AK35" s="479"/>
      <c r="BT35" s="16"/>
    </row>
    <row r="36" spans="2:84" hidden="1" x14ac:dyDescent="0.55000000000000004">
      <c r="B36" s="521"/>
      <c r="C36" s="522"/>
      <c r="D36" s="522"/>
      <c r="E36" s="522"/>
      <c r="F36" s="522"/>
      <c r="G36" s="522"/>
      <c r="H36" s="522"/>
      <c r="I36" s="522"/>
      <c r="J36" s="522"/>
      <c r="K36" s="522"/>
      <c r="L36" s="522"/>
      <c r="M36" s="523"/>
      <c r="N36" s="477"/>
      <c r="O36" s="477"/>
      <c r="P36" s="477"/>
      <c r="Q36" s="477"/>
      <c r="R36" s="477"/>
      <c r="S36" s="477"/>
      <c r="T36" s="480"/>
      <c r="U36" s="480"/>
      <c r="V36" s="480"/>
      <c r="W36" s="480"/>
      <c r="X36" s="480"/>
      <c r="Y36" s="480"/>
      <c r="Z36" s="477"/>
      <c r="AA36" s="477"/>
      <c r="AB36" s="477"/>
      <c r="AC36" s="477"/>
      <c r="AD36" s="477"/>
      <c r="AE36" s="477"/>
      <c r="AF36" s="480"/>
      <c r="AG36" s="480"/>
      <c r="AH36" s="480"/>
      <c r="AI36" s="480"/>
      <c r="AJ36" s="480"/>
      <c r="AK36" s="480"/>
      <c r="BT36" s="16"/>
    </row>
    <row r="37" spans="2:84" hidden="1" x14ac:dyDescent="0.55000000000000004">
      <c r="BU37" s="64"/>
      <c r="BV37" s="64"/>
      <c r="BW37" s="64"/>
      <c r="BX37" s="64"/>
    </row>
    <row r="38" spans="2:84" ht="40" hidden="1" customHeight="1" x14ac:dyDescent="0.55000000000000004">
      <c r="B38" s="20" t="str">
        <f xml:space="preserve">
IF(表紙!V8="交付申請","【３　見込まれる検査需要及び現在の検査能力】",
IF(表紙!V8="変更申請","【３　見込まれる検査需要及び現在の検査能力】",
IF(表紙!V8="実績報告","－")))</f>
        <v>－</v>
      </c>
      <c r="BU38" s="54"/>
      <c r="BV38" s="64"/>
      <c r="BW38" s="55"/>
      <c r="BX38" s="64"/>
    </row>
    <row r="39" spans="2:84" ht="20.149999999999999" hidden="1" customHeight="1" x14ac:dyDescent="0.55000000000000004">
      <c r="B39" s="461" t="s">
        <v>148</v>
      </c>
      <c r="C39" s="462"/>
      <c r="D39" s="462"/>
      <c r="E39" s="462"/>
      <c r="F39" s="462"/>
      <c r="G39" s="462"/>
      <c r="H39" s="463" t="s">
        <v>129</v>
      </c>
      <c r="I39" s="462"/>
      <c r="J39" s="462"/>
      <c r="K39" s="462"/>
      <c r="L39" s="462"/>
      <c r="M39" s="462"/>
      <c r="N39" s="453" t="s">
        <v>130</v>
      </c>
      <c r="O39" s="454"/>
      <c r="P39" s="454"/>
      <c r="Q39" s="454"/>
      <c r="R39" s="454"/>
      <c r="S39" s="455"/>
      <c r="T39" s="453" t="s">
        <v>149</v>
      </c>
      <c r="U39" s="482"/>
      <c r="V39" s="482"/>
      <c r="W39" s="482"/>
      <c r="X39" s="482"/>
      <c r="Y39" s="483"/>
      <c r="Z39" s="453" t="s">
        <v>150</v>
      </c>
      <c r="AA39" s="454"/>
      <c r="AB39" s="454"/>
      <c r="AC39" s="454"/>
      <c r="AD39" s="454"/>
      <c r="AE39" s="455"/>
      <c r="AF39" s="71"/>
      <c r="AG39" s="72"/>
      <c r="AH39" s="72"/>
      <c r="AI39" s="72"/>
      <c r="AJ39" s="72"/>
      <c r="AK39" s="72"/>
      <c r="BU39" s="54"/>
      <c r="BV39" s="64"/>
      <c r="BW39" s="56"/>
      <c r="BX39" s="64"/>
    </row>
    <row r="40" spans="2:84" ht="20.149999999999999" hidden="1" customHeight="1" x14ac:dyDescent="0.55000000000000004">
      <c r="B40" s="461"/>
      <c r="C40" s="462"/>
      <c r="D40" s="462"/>
      <c r="E40" s="462"/>
      <c r="F40" s="462"/>
      <c r="G40" s="462"/>
      <c r="H40" s="463"/>
      <c r="I40" s="462"/>
      <c r="J40" s="462"/>
      <c r="K40" s="462"/>
      <c r="L40" s="462"/>
      <c r="M40" s="462"/>
      <c r="N40" s="456"/>
      <c r="O40" s="424"/>
      <c r="P40" s="424"/>
      <c r="Q40" s="424"/>
      <c r="R40" s="424"/>
      <c r="S40" s="457"/>
      <c r="T40" s="456"/>
      <c r="U40" s="391"/>
      <c r="V40" s="391"/>
      <c r="W40" s="391"/>
      <c r="X40" s="391"/>
      <c r="Y40" s="484"/>
      <c r="Z40" s="456"/>
      <c r="AA40" s="424"/>
      <c r="AB40" s="424"/>
      <c r="AC40" s="424"/>
      <c r="AD40" s="424"/>
      <c r="AE40" s="457"/>
      <c r="AF40" s="71"/>
      <c r="AG40" s="72"/>
      <c r="AH40" s="72"/>
      <c r="AI40" s="72"/>
      <c r="AJ40" s="72"/>
      <c r="AK40" s="72"/>
      <c r="AP40" s="602"/>
      <c r="AQ40" s="602"/>
      <c r="AR40" s="602"/>
      <c r="BU40" s="64"/>
      <c r="BV40" s="64"/>
      <c r="BW40" s="56"/>
      <c r="BX40" s="64"/>
    </row>
    <row r="41" spans="2:84" ht="20.149999999999999" hidden="1" customHeight="1" x14ac:dyDescent="0.55000000000000004">
      <c r="B41" s="463"/>
      <c r="C41" s="462"/>
      <c r="D41" s="462"/>
      <c r="E41" s="462"/>
      <c r="F41" s="462"/>
      <c r="G41" s="462"/>
      <c r="H41" s="463"/>
      <c r="I41" s="462"/>
      <c r="J41" s="462"/>
      <c r="K41" s="462"/>
      <c r="L41" s="462"/>
      <c r="M41" s="462"/>
      <c r="N41" s="458"/>
      <c r="O41" s="459"/>
      <c r="P41" s="459"/>
      <c r="Q41" s="459"/>
      <c r="R41" s="459"/>
      <c r="S41" s="460"/>
      <c r="T41" s="485"/>
      <c r="U41" s="486"/>
      <c r="V41" s="486"/>
      <c r="W41" s="486"/>
      <c r="X41" s="486"/>
      <c r="Y41" s="487"/>
      <c r="Z41" s="458"/>
      <c r="AA41" s="459"/>
      <c r="AB41" s="459"/>
      <c r="AC41" s="459"/>
      <c r="AD41" s="459"/>
      <c r="AE41" s="460"/>
      <c r="AF41" s="68"/>
      <c r="AG41" s="72"/>
      <c r="AH41" s="72"/>
      <c r="AI41" s="72"/>
      <c r="AJ41" s="72"/>
      <c r="AK41" s="72"/>
      <c r="AP41" s="381"/>
      <c r="AQ41" s="381"/>
      <c r="AR41" s="381"/>
      <c r="BP41" s="15" t="str">
        <f>B38</f>
        <v>－</v>
      </c>
      <c r="BV41" s="64"/>
      <c r="BW41" s="55"/>
      <c r="BX41" s="64"/>
    </row>
    <row r="42" spans="2:84" ht="20.149999999999999" hidden="1" customHeight="1" x14ac:dyDescent="0.55000000000000004">
      <c r="B42" s="490"/>
      <c r="C42" s="491"/>
      <c r="D42" s="491"/>
      <c r="E42" s="491"/>
      <c r="F42" s="491"/>
      <c r="G42" s="492"/>
      <c r="H42" s="496"/>
      <c r="I42" s="497"/>
      <c r="J42" s="497"/>
      <c r="K42" s="497"/>
      <c r="L42" s="497"/>
      <c r="M42" s="498"/>
      <c r="N42" s="502">
        <f>IFERROR(ROUNDUP(B42/H42,2),0)</f>
        <v>0</v>
      </c>
      <c r="O42" s="503"/>
      <c r="P42" s="503"/>
      <c r="Q42" s="503"/>
      <c r="R42" s="503"/>
      <c r="S42" s="504"/>
      <c r="T42" s="490"/>
      <c r="U42" s="491"/>
      <c r="V42" s="491"/>
      <c r="W42" s="491"/>
      <c r="X42" s="491"/>
      <c r="Y42" s="492"/>
      <c r="Z42" s="508">
        <f>SUM(Z35,AF23)</f>
        <v>0</v>
      </c>
      <c r="AA42" s="509"/>
      <c r="AB42" s="509"/>
      <c r="AC42" s="509"/>
      <c r="AD42" s="509"/>
      <c r="AE42" s="510"/>
      <c r="AF42" s="48"/>
      <c r="AG42" s="36"/>
      <c r="AH42" s="36"/>
      <c r="AI42" s="36"/>
      <c r="AJ42" s="36"/>
      <c r="AK42" s="36"/>
      <c r="AP42" s="602"/>
      <c r="AQ42" s="602"/>
      <c r="AR42" s="602"/>
      <c r="BO42" s="15"/>
      <c r="BP42" s="63" t="s">
        <v>209</v>
      </c>
      <c r="BQ42" s="603" t="s">
        <v>208</v>
      </c>
      <c r="BR42" s="597"/>
      <c r="BS42" s="597"/>
      <c r="BT42" s="597"/>
      <c r="BU42" s="598"/>
      <c r="BV42" s="64" t="str">
        <f>IF(COUNTA(B42)=1,"","実施件数/")&amp;IF(COUNTA(H42)=1,"","実施日数/")&amp;IF(COUNTA(T42)=1,"","最大検査件数/")&amp;IF(COUNTA(Z42)=1,"","整備後の分析可能件数/")</f>
        <v>実施件数/実施日数/最大検査件数/</v>
      </c>
      <c r="BW42" s="56"/>
      <c r="BX42" s="64"/>
    </row>
    <row r="43" spans="2:84" ht="20.149999999999999" hidden="1" customHeight="1" x14ac:dyDescent="0.55000000000000004">
      <c r="B43" s="493"/>
      <c r="C43" s="494"/>
      <c r="D43" s="494"/>
      <c r="E43" s="494"/>
      <c r="F43" s="494"/>
      <c r="G43" s="495"/>
      <c r="H43" s="499"/>
      <c r="I43" s="500"/>
      <c r="J43" s="500"/>
      <c r="K43" s="500"/>
      <c r="L43" s="500"/>
      <c r="M43" s="501"/>
      <c r="N43" s="505"/>
      <c r="O43" s="506"/>
      <c r="P43" s="506"/>
      <c r="Q43" s="506"/>
      <c r="R43" s="506"/>
      <c r="S43" s="507"/>
      <c r="T43" s="493"/>
      <c r="U43" s="494"/>
      <c r="V43" s="494"/>
      <c r="W43" s="494"/>
      <c r="X43" s="494"/>
      <c r="Y43" s="495"/>
      <c r="Z43" s="511"/>
      <c r="AA43" s="512"/>
      <c r="AB43" s="512"/>
      <c r="AC43" s="512"/>
      <c r="AD43" s="512"/>
      <c r="AE43" s="513"/>
      <c r="AF43" s="35"/>
      <c r="AG43" s="36"/>
      <c r="AH43" s="36"/>
      <c r="AI43" s="36"/>
      <c r="AJ43" s="36"/>
      <c r="AK43" s="36"/>
      <c r="AP43" s="381"/>
      <c r="AQ43" s="381"/>
      <c r="AR43" s="381"/>
      <c r="BO43" s="15"/>
      <c r="BP43" s="604" t="str">
        <f xml:space="preserve">
IF(AND(OR(表紙!V8="交付申請",表紙!V8="変更申請"),COUNTA(B42,H42,T42,Z42)=4),"○",
IF(AND(OR(表紙!V8="交付申請",表紙!V8="変更申請"),COUNTA(B42,H42,T42,Z42)&gt;=0,COUNTA(B42,H42,T42,Z42)&lt;4),"×",
IF(表紙!V8="実績報告","○"
)))</f>
        <v>○</v>
      </c>
      <c r="BQ43" s="606" t="str">
        <f xml:space="preserve">
IF(AND(OR(表紙!V8="交付申請",表紙!V8="変更申請"),COUNTA(B42:M43,T42:AE43)=4),"全ての項目が入力されました。",
IF(AND(OR(表紙!V8="交付申請",表紙!V8="変更申請"),COUNTA(B42:M43,T42:AE43)&gt;=0,COUNTA(B42:M43,T42:AE43)&lt;4),"【要修正】入力不十分の項目があるため御確認ください。→"&amp;BV42,
IF(表紙!V8="実績報告","実績報告では入力不要"
)))</f>
        <v>実績報告では入力不要</v>
      </c>
      <c r="BR43" s="454"/>
      <c r="BS43" s="454"/>
      <c r="BT43" s="454"/>
      <c r="BU43" s="455"/>
      <c r="BV43" s="64"/>
      <c r="BW43" s="55"/>
      <c r="BX43" s="64"/>
    </row>
    <row r="44" spans="2:84" ht="20.149999999999999" hidden="1" customHeight="1" x14ac:dyDescent="0.55000000000000004">
      <c r="BP44" s="386"/>
      <c r="BQ44" s="458"/>
      <c r="BR44" s="459"/>
      <c r="BS44" s="459"/>
      <c r="BT44" s="459"/>
      <c r="BU44" s="460"/>
      <c r="BV44" s="64"/>
      <c r="BW44" s="56"/>
      <c r="BX44" s="64"/>
    </row>
    <row r="45" spans="2:84" ht="25" hidden="1" customHeight="1" x14ac:dyDescent="0.55000000000000004">
      <c r="B45" s="19" t="str">
        <f xml:space="preserve">
IF(表紙!V8="交付申請","※「検査実施件数」、「実施日数」及び「最大検査件数」は、令和４年１月１日から申請時点までのものを記入すること。",
IF(表紙!V8="変更申請","※「検査実施件数」、「実施日数」及び「最大検査件数」は、令和４年１月１日から申請時点までのものを記入すること。",
IF(表紙!V8="実績報告","※「検査実施件数」、「実施日数」及び「最大検査件数」は、令和４年１月１日から報告時点までのものを記入すること。")))</f>
        <v>※「検査実施件数」、「実施日数」及び「最大検査件数」は、令和４年１月１日から報告時点までのものを記入すること。</v>
      </c>
      <c r="BU45" s="64"/>
      <c r="BV45" s="64"/>
      <c r="BW45" s="56"/>
      <c r="BX45" s="64"/>
    </row>
    <row r="46" spans="2:84" s="19" customFormat="1" ht="25" hidden="1" customHeight="1" x14ac:dyDescent="0.55000000000000004">
      <c r="B46" s="488" t="s">
        <v>151</v>
      </c>
      <c r="C46" s="489"/>
      <c r="D46" s="489"/>
      <c r="E46" s="489"/>
      <c r="F46" s="489"/>
      <c r="G46" s="489"/>
      <c r="H46" s="489"/>
      <c r="I46" s="489"/>
      <c r="J46" s="489"/>
      <c r="K46" s="489"/>
      <c r="L46" s="489"/>
      <c r="M46" s="489"/>
      <c r="N46" s="489"/>
      <c r="O46" s="489"/>
      <c r="P46" s="489"/>
      <c r="Q46" s="489"/>
      <c r="R46" s="489"/>
      <c r="S46" s="489"/>
      <c r="T46" s="489"/>
      <c r="U46" s="489"/>
      <c r="V46" s="489"/>
      <c r="W46" s="489"/>
      <c r="X46" s="489"/>
      <c r="Y46" s="489"/>
      <c r="Z46" s="489"/>
      <c r="AA46" s="489"/>
      <c r="AB46" s="489"/>
      <c r="AC46" s="489"/>
      <c r="AD46" s="489"/>
      <c r="AE46" s="489"/>
      <c r="AF46" s="489"/>
      <c r="AG46" s="489"/>
      <c r="AH46" s="489"/>
      <c r="AI46" s="489"/>
      <c r="AJ46" s="489"/>
      <c r="AK46" s="489"/>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O46" s="45"/>
      <c r="BU46" s="602"/>
      <c r="BV46" s="64"/>
      <c r="BW46" s="56"/>
      <c r="BX46" s="64"/>
      <c r="BZ46" s="626" t="s">
        <v>156</v>
      </c>
      <c r="CA46" s="604">
        <f xml:space="preserve">
IF(AND(AP31="×",AQ31="○",AR31="○"),"×",
IF(AND(AP31="×",AQ31="○",AR31="◎"),"×",
IF(AND(AP31="×",AQ31="◎",AR31="○"),"×",
IF(AND(AP31="×",AQ31="◎",AR31="◎"),"×",
IF(AND(AP31="○",AQ31="○",AR31="○"),"○",
IF(AND(AP31="○",AQ31="○",AR31="◎"),"×",
IF(AND(AP31="○",AQ31="◎",AR31="○"),"×",
IF(AND(AP31="○",AQ31="◎",AR31="◎"),"×",
IF(AND(AP31="◎",AQ31="○",AR31="○"),"×",
IF(AND(AP31="◎",AQ31="○",AR31="◎"),"×",
IF(AND(AP31="◎",AQ31="◎",AR31="○"),"×",
IF(AND(AP31="◎",AQ31="◎",AR31="◎"),"◎",
))))))))))))</f>
        <v>0</v>
      </c>
      <c r="CB46" s="609">
        <f xml:space="preserve">
IF(AND(AP31="×",AQ31="○",AR31="○"),"【要修正】「品目、規格、台数」が入力不十分です。「件数」が未入力です。「交付年度」が未入力です。",
IF(AND(AP31="×",AQ31="○",AR31="◎"),"【要修正】「品目、規格、台数」が入力不十分です。「件数」が未入力です。",
IF(AND(AP31="×",AQ31="◎",AR31="○"),"【要修正】「品目、規格、台数」が入力不十分です。「交付年度」が未入力です。",
IF(AND(AP31="×",AQ31="◎",AR31="◎"),"【要修正】「品目、規格、台数」が入力不十分です。",
IF(AND(AP31="○",AQ31="○",AR31="○"),"申請しない場合は入力不要です。",
IF(AND(AP31="○",AQ31="○",AR31="◎"),"【要修正】「品目、規格、台数」が未入力です。「件数」が未入力です。",
IF(AND(AP31="○",AQ31="◎",AR31="○"),"【要修正】「品目、規格、台数」が未入力です。「交付年度」が未入力です。",
IF(AND(AP31="○",AQ31="◎",AR31="◎"),"【要修正】「品目、規格、台数」が未入力です。",
IF(AND(AP31="◎",AQ31="○",AR31="○"),"【要修正】「件数」が未入力です。「交付年度」が未入力です。",
IF(AND(AP31="◎",AQ31="○",AR31="◎"),"【要修正】「件数」が未入力です。",
IF(AND(AP31="◎",AQ31="◎",AR31="○"),"【要修正】「交付年度」が未入力です。",
IF(AND(AP31="◎",AQ31="◎",AR31="◎"),"適切に入力がされました。",
))))))))))))</f>
        <v>0</v>
      </c>
      <c r="CC46" s="604" t="str">
        <f>IF(COUNTIF(CA46:CA51,"×")&gt;=1,"×",IF(COUNTIF(CA46:CA51,"○")=2,"◎","◎"))</f>
        <v>◎</v>
      </c>
      <c r="CD46" s="66" t="str">
        <f>IF(COUNTA(B31:M32)=0,"○",IF(COUNTA(B31:M32)=1,"×",IF(COUNTA(B31:M32)=2,"◎")))</f>
        <v>○</v>
      </c>
      <c r="CE46" s="18" t="str">
        <f>IF(COUNTA(B31:M32)=0,"【品目、規格】未入力です。"&amp;CHAR(10),IF(COUNTA(B31:M32)=1,"【品目、規格】一方の欄しか入力されていません。""＆CHAR(10),IF(COUNTA(A22:L24)=2,"""))</f>
        <v xml:space="preserve">【品目、規格】未入力です。
</v>
      </c>
      <c r="CF46" s="15"/>
    </row>
    <row r="47" spans="2:84" s="19" customFormat="1" ht="25" hidden="1" customHeight="1" x14ac:dyDescent="0.55000000000000004">
      <c r="B47" s="489"/>
      <c r="C47" s="489"/>
      <c r="D47" s="489"/>
      <c r="E47" s="489"/>
      <c r="F47" s="489"/>
      <c r="G47" s="489"/>
      <c r="H47" s="489"/>
      <c r="I47" s="489"/>
      <c r="J47" s="489"/>
      <c r="K47" s="489"/>
      <c r="L47" s="489"/>
      <c r="M47" s="489"/>
      <c r="N47" s="489"/>
      <c r="O47" s="489"/>
      <c r="P47" s="489"/>
      <c r="Q47" s="489"/>
      <c r="R47" s="489"/>
      <c r="S47" s="489"/>
      <c r="T47" s="489"/>
      <c r="U47" s="489"/>
      <c r="V47" s="489"/>
      <c r="W47" s="489"/>
      <c r="X47" s="489"/>
      <c r="Y47" s="489"/>
      <c r="Z47" s="489"/>
      <c r="AA47" s="489"/>
      <c r="AB47" s="489"/>
      <c r="AC47" s="489"/>
      <c r="AD47" s="489"/>
      <c r="AE47" s="489"/>
      <c r="AF47" s="489"/>
      <c r="AG47" s="489"/>
      <c r="AH47" s="489"/>
      <c r="AI47" s="489"/>
      <c r="AJ47" s="489"/>
      <c r="AK47" s="489"/>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O47" s="45"/>
      <c r="BU47" s="381"/>
      <c r="BV47" s="65"/>
      <c r="BW47" s="67"/>
      <c r="BX47" s="65"/>
      <c r="BZ47" s="595"/>
      <c r="CA47" s="608"/>
      <c r="CB47" s="610"/>
      <c r="CC47" s="608"/>
      <c r="CD47" s="66" t="str">
        <f>IF(COUNTA(N31:Y32)=0,"○",IF(COUNTA(N31:Y32)=1,"×",IF(COUNTA(N31:Y32)=2,"◎")))</f>
        <v>○</v>
      </c>
      <c r="CE47" s="18" t="str">
        <f>IF(COUNTA(N31:Y32)=0,"【台数、単価】未入力です。"&amp;CHAR(10),IF(COUNTA(N31:Y32)=1,"【台数、単価】一方の欄しか入力されていません。"&amp;CHAR(10),IF(COUNTA(N31:Y32)=2,"")))</f>
        <v xml:space="preserve">【台数、単価】未入力です。
</v>
      </c>
      <c r="CF47" s="15"/>
    </row>
    <row r="48" spans="2:84" hidden="1" x14ac:dyDescent="0.55000000000000004">
      <c r="BU48" s="381"/>
      <c r="BV48" s="65"/>
      <c r="BW48" s="67"/>
      <c r="BX48" s="65"/>
      <c r="BZ48" s="595"/>
      <c r="CA48" s="386"/>
      <c r="CB48" s="610"/>
      <c r="CC48" s="608"/>
      <c r="CD48" s="66" t="str">
        <f>IF(COUNTA(AF31)=0,"○",IF(COUNTA(AF31)=1,"◎"))</f>
        <v>○</v>
      </c>
      <c r="CE48" s="18" t="str">
        <f>IF(COUNTA(AF31)=0,"【整備年度】未入力です。（プルダウンから選択してください。）"&amp;CHAR(10),IF(COUNTA(AF56)=1,""))</f>
        <v xml:space="preserve">【整備年度】未入力です。（プルダウンから選択してください。）
</v>
      </c>
    </row>
    <row r="49" spans="2:83" ht="26.5" hidden="1" x14ac:dyDescent="0.55000000000000004">
      <c r="B49" s="473" t="str">
        <f xml:space="preserve">
IF(表紙!V8="交付申請","【４　整備理由】(令和３年度以前に本補助金を活用して整備している場合、追加で交付を受けようとする理由も記載すること。)",
IF(表紙!V8="変更申請","【４　整備理由】(令和３年度以前に本補助金を活用して整備している場合、追加で交付を受けようとする理由も記載すること。)",
IF(表紙!V8="実績報告","－")))</f>
        <v>－</v>
      </c>
      <c r="C49" s="474"/>
      <c r="D49" s="474"/>
      <c r="E49" s="474"/>
      <c r="F49" s="474"/>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BP49" s="15" t="str">
        <f>B49</f>
        <v>－</v>
      </c>
      <c r="BV49" s="57"/>
      <c r="BW49" s="54"/>
      <c r="BX49" s="64"/>
      <c r="BZ49" s="626" t="s">
        <v>156</v>
      </c>
      <c r="CA49" s="604">
        <f xml:space="preserve">
IF(AND(AP33="×",AQ33="○",AR33="○"),"×",
IF(AND(AP33="×",AQ33="○",AR33="◎"),"×",
IF(AND(AP33="×",AQ33="◎",AR33="○"),"×",
IF(AND(AP33="×",AQ33="◎",AR33="◎"),"×",
IF(AND(AP33="○",AQ33="○",AR33="○"),"○",
IF(AND(AP33="○",AQ33="○",AR33="◎"),"×",
IF(AND(AP33="○",AQ33="◎",AR33="○"),"×",
IF(AND(AP33="○",AQ33="◎",AR33="◎"),"×",
IF(AND(AP33="◎",AQ33="○",AR33="○"),"×",
IF(AND(AP33="◎",AQ33="○",AR33="◎"),"×",
IF(AND(AP33="◎",AQ33="◎",AR33="○"),"×",
IF(AND(AP33="◎",AQ33="◎",AR33="◎"),"○",
))))))))))))</f>
        <v>0</v>
      </c>
      <c r="CB49" s="609">
        <f xml:space="preserve">
IF(AND(AP33="×",AQ33="○",AR33="○"),"【要修正】「品目、規格、台数」が入力不十分です。「件数」が未入力です。「交付年度」が未入力です。",
IF(AND(AP33="×",AQ33="○",AR33="◎"),"【要修正】「品目、規格、台数」が入力不十分です。「件数」が未入力です。",
IF(AND(AP33="×",AQ33="◎",AR33="○"),"【要修正】「品目、規格、台数」が入力不十分です。「交付年度」が未入力です。",
IF(AND(AP33="×",AQ33="◎",AR33="◎"),"【要修正】「品目、規格、台数」が入力不十分です。",
IF(AND(AP33="○",AQ33="○",AR33="○"),"申請しない場合は入力不要です。",
IF(AND(AP33="○",AQ33="○",AR33="◎"),"【要修正】「品目、規格、台数」が未入力です。「件数」が未入力です。",
IF(AND(AP33="○",AQ33="◎",AR33="○"),"【要修正】「品目、規格、台数」が未入力です。「交付年度」が未入力です。",
IF(AND(AP33="○",AQ33="◎",AR33="◎"),"【要修正】「品目、規格、台数」が未入力です。",
IF(AND(AP33="◎",AQ33="○",AR33="○"),"【要修正】「件数」が未入力です。「交付年度」が未入力です。",
IF(AND(AP33="◎",AQ33="○",AR33="◎"),"【要修正】「件数」が未入力です。",
IF(AND(AP33="◎",AQ33="◎",AR33="○"),"【要修正】「交付年度」が未入力です。",
IF(AND(AP33="◎",AQ33="◎",AR33="◎"),"適切に入力がされました。",
))))))))))))</f>
        <v>0</v>
      </c>
      <c r="CC49" s="608"/>
      <c r="CD49" s="66" t="str">
        <f>IF(COUNTA(B33:M34)=0,"○",IF(COUNTA(B33:M34)=1,"×",IF(COUNTA(B33:M34)=2,"◎")))</f>
        <v>○</v>
      </c>
      <c r="CE49" s="18" t="str">
        <f>IF(COUNTA(B33:M34)=0,"【品目、規格】未入力です。"&amp;CHAR(10),IF(COUNTA(B33:M34)=1,"【品目、規格】一方の欄しか入力されていません。""＆CHAR(10),IF(COUNTA(A22:L24)=2,"""))</f>
        <v xml:space="preserve">【品目、規格】未入力です。
</v>
      </c>
    </row>
    <row r="50" spans="2:83" hidden="1" x14ac:dyDescent="0.55000000000000004">
      <c r="B50" s="464"/>
      <c r="C50" s="465"/>
      <c r="D50" s="465"/>
      <c r="E50" s="465"/>
      <c r="F50" s="465"/>
      <c r="G50" s="465"/>
      <c r="H50" s="465"/>
      <c r="I50" s="465"/>
      <c r="J50" s="465"/>
      <c r="K50" s="465"/>
      <c r="L50" s="465"/>
      <c r="M50" s="465"/>
      <c r="N50" s="465"/>
      <c r="O50" s="465"/>
      <c r="P50" s="465"/>
      <c r="Q50" s="465"/>
      <c r="R50" s="465"/>
      <c r="S50" s="465"/>
      <c r="T50" s="465"/>
      <c r="U50" s="465"/>
      <c r="V50" s="465"/>
      <c r="W50" s="465"/>
      <c r="X50" s="465"/>
      <c r="Y50" s="465"/>
      <c r="Z50" s="465"/>
      <c r="AA50" s="465"/>
      <c r="AB50" s="465"/>
      <c r="AC50" s="465"/>
      <c r="AD50" s="465"/>
      <c r="AE50" s="465"/>
      <c r="AF50" s="465"/>
      <c r="AG50" s="465"/>
      <c r="AH50" s="465"/>
      <c r="AI50" s="465"/>
      <c r="AJ50" s="465"/>
      <c r="AK50" s="466"/>
      <c r="BO50" s="64"/>
      <c r="BP50" s="63" t="s">
        <v>209</v>
      </c>
      <c r="BQ50" s="603" t="s">
        <v>208</v>
      </c>
      <c r="BR50" s="597"/>
      <c r="BS50" s="597"/>
      <c r="BT50" s="597"/>
      <c r="BU50" s="598"/>
      <c r="BV50" s="57"/>
      <c r="BW50" s="54"/>
      <c r="BX50" s="64"/>
      <c r="BZ50" s="595"/>
      <c r="CA50" s="608"/>
      <c r="CB50" s="610"/>
      <c r="CC50" s="608"/>
      <c r="CD50" s="66" t="str">
        <f>IF(COUNTA(N33:Y34)=0,"○",IF(COUNTA(N33:Y34)=1,"×",IF(COUNTA(N33:Y34)=2,"◎")))</f>
        <v>○</v>
      </c>
      <c r="CE50" s="18" t="str">
        <f>IF(COUNTA(N33:Y34)=0,"【台数、単価】未入力です。"&amp;CHAR(10),IF(COUNTA(N33:Y34)=1,"【台数、単価】一方の欄しか入力されていません。"&amp;CHAR(10),IF(COUNTA(N33:Y34)=2,"")))</f>
        <v xml:space="preserve">【台数、単価】未入力です。
</v>
      </c>
    </row>
    <row r="51" spans="2:83" hidden="1" x14ac:dyDescent="0.55000000000000004">
      <c r="B51" s="467"/>
      <c r="C51" s="468"/>
      <c r="D51" s="468"/>
      <c r="E51" s="468"/>
      <c r="F51" s="468"/>
      <c r="G51" s="468"/>
      <c r="H51" s="468"/>
      <c r="I51" s="468"/>
      <c r="J51" s="468"/>
      <c r="K51" s="468"/>
      <c r="L51" s="468"/>
      <c r="M51" s="468"/>
      <c r="N51" s="468"/>
      <c r="O51" s="468"/>
      <c r="P51" s="468"/>
      <c r="Q51" s="468"/>
      <c r="R51" s="468"/>
      <c r="S51" s="468"/>
      <c r="T51" s="468"/>
      <c r="U51" s="468"/>
      <c r="V51" s="468"/>
      <c r="W51" s="468"/>
      <c r="X51" s="468"/>
      <c r="Y51" s="468"/>
      <c r="Z51" s="468"/>
      <c r="AA51" s="468"/>
      <c r="AB51" s="468"/>
      <c r="AC51" s="468"/>
      <c r="AD51" s="468"/>
      <c r="AE51" s="468"/>
      <c r="AF51" s="468"/>
      <c r="AG51" s="468"/>
      <c r="AH51" s="468"/>
      <c r="AI51" s="468"/>
      <c r="AJ51" s="468"/>
      <c r="AK51" s="469"/>
      <c r="BO51" s="65"/>
      <c r="BP51" s="604" t="str">
        <f xml:space="preserve">
IF(AND(OR(表紙!V8="交付申請",表紙!V8="変更申請"),COUNTA(B50)=1),"○",
IF(AND(OR(表紙!V8="交付申請",表紙!V8="変更申請"),COUNTA(B50)=0),"×",
IF(表紙!V8="実績報告","○"
)))</f>
        <v>○</v>
      </c>
      <c r="BQ51" s="606" t="str">
        <f xml:space="preserve">
IF(AND(OR(表紙!V8="交付申請",表紙!V8="変更申請"),COUNTA(B50)=1),"整備理由が入力されました。",
IF(AND(OR(表紙!V8="交付申請",表紙!V8="変更申請"),COUNTA(B50)=0),"【要修正】整備理由が入力されていません。",
IF(表紙!V8="実績報告","実績報告では入力不要"
)))</f>
        <v>実績報告では入力不要</v>
      </c>
      <c r="BR51" s="454"/>
      <c r="BS51" s="454"/>
      <c r="BT51" s="454"/>
      <c r="BU51" s="455"/>
      <c r="BV51" s="54"/>
      <c r="BW51" s="54"/>
      <c r="BX51" s="54"/>
      <c r="BZ51" s="595"/>
      <c r="CA51" s="386"/>
      <c r="CB51" s="610"/>
      <c r="CC51" s="386"/>
      <c r="CD51" s="66" t="str">
        <f>IF(COUNTA(AF33)=0,"○",IF(COUNTA(AF33)=1,"◎"))</f>
        <v>○</v>
      </c>
      <c r="CE51" s="18" t="str">
        <f>IF(COUNTA(AF33)=0,"【整備年度】未入力です。（プルダウンから選択してください。）"&amp;CHAR(10),IF(COUNTA(#REF!)=1,""))</f>
        <v xml:space="preserve">【整備年度】未入力です。（プルダウンから選択してください。）
</v>
      </c>
    </row>
    <row r="52" spans="2:83" hidden="1" x14ac:dyDescent="0.55000000000000004">
      <c r="B52" s="467"/>
      <c r="C52" s="468"/>
      <c r="D52" s="468"/>
      <c r="E52" s="468"/>
      <c r="F52" s="468"/>
      <c r="G52" s="468"/>
      <c r="H52" s="468"/>
      <c r="I52" s="468"/>
      <c r="J52" s="468"/>
      <c r="K52" s="468"/>
      <c r="L52" s="468"/>
      <c r="M52" s="468"/>
      <c r="N52" s="468"/>
      <c r="O52" s="468"/>
      <c r="P52" s="468"/>
      <c r="Q52" s="468"/>
      <c r="R52" s="468"/>
      <c r="S52" s="468"/>
      <c r="T52" s="468"/>
      <c r="U52" s="468"/>
      <c r="V52" s="468"/>
      <c r="W52" s="468"/>
      <c r="X52" s="468"/>
      <c r="Y52" s="468"/>
      <c r="Z52" s="468"/>
      <c r="AA52" s="468"/>
      <c r="AB52" s="468"/>
      <c r="AC52" s="468"/>
      <c r="AD52" s="468"/>
      <c r="AE52" s="468"/>
      <c r="AF52" s="468"/>
      <c r="AG52" s="468"/>
      <c r="AH52" s="468"/>
      <c r="AI52" s="468"/>
      <c r="AJ52" s="468"/>
      <c r="AK52" s="469"/>
      <c r="BO52" s="65"/>
      <c r="BP52" s="386"/>
      <c r="BQ52" s="458"/>
      <c r="BR52" s="459"/>
      <c r="BS52" s="459"/>
      <c r="BT52" s="459"/>
      <c r="BU52" s="460"/>
      <c r="BV52" s="64"/>
      <c r="BW52" s="54"/>
      <c r="BX52" s="54"/>
    </row>
    <row r="53" spans="2:83" hidden="1" x14ac:dyDescent="0.55000000000000004">
      <c r="B53" s="467"/>
      <c r="C53" s="468"/>
      <c r="D53" s="468"/>
      <c r="E53" s="468"/>
      <c r="F53" s="468"/>
      <c r="G53" s="468"/>
      <c r="H53" s="468"/>
      <c r="I53" s="468"/>
      <c r="J53" s="468"/>
      <c r="K53" s="468"/>
      <c r="L53" s="468"/>
      <c r="M53" s="468"/>
      <c r="N53" s="468"/>
      <c r="O53" s="468"/>
      <c r="P53" s="468"/>
      <c r="Q53" s="468"/>
      <c r="R53" s="468"/>
      <c r="S53" s="468"/>
      <c r="T53" s="468"/>
      <c r="U53" s="468"/>
      <c r="V53" s="468"/>
      <c r="W53" s="468"/>
      <c r="X53" s="468"/>
      <c r="Y53" s="468"/>
      <c r="Z53" s="468"/>
      <c r="AA53" s="468"/>
      <c r="AB53" s="468"/>
      <c r="AC53" s="468"/>
      <c r="AD53" s="468"/>
      <c r="AE53" s="468"/>
      <c r="AF53" s="468"/>
      <c r="AG53" s="468"/>
      <c r="AH53" s="468"/>
      <c r="AI53" s="468"/>
      <c r="AJ53" s="468"/>
      <c r="AK53" s="469"/>
      <c r="BO53" s="65"/>
      <c r="BP53" s="69"/>
      <c r="BQ53" s="69"/>
      <c r="BR53" s="69"/>
      <c r="BS53" s="69"/>
      <c r="BT53" s="69"/>
      <c r="BU53" s="54"/>
      <c r="BV53" s="64"/>
      <c r="BW53" s="54"/>
      <c r="BX53" s="54"/>
    </row>
    <row r="54" spans="2:83" hidden="1" x14ac:dyDescent="0.55000000000000004">
      <c r="B54" s="467"/>
      <c r="C54" s="468"/>
      <c r="D54" s="468"/>
      <c r="E54" s="468"/>
      <c r="F54" s="468"/>
      <c r="G54" s="468"/>
      <c r="H54" s="468"/>
      <c r="I54" s="468"/>
      <c r="J54" s="468"/>
      <c r="K54" s="468"/>
      <c r="L54" s="468"/>
      <c r="M54" s="468"/>
      <c r="N54" s="468"/>
      <c r="O54" s="468"/>
      <c r="P54" s="468"/>
      <c r="Q54" s="468"/>
      <c r="R54" s="468"/>
      <c r="S54" s="468"/>
      <c r="T54" s="468"/>
      <c r="U54" s="468"/>
      <c r="V54" s="468"/>
      <c r="W54" s="468"/>
      <c r="X54" s="468"/>
      <c r="Y54" s="468"/>
      <c r="Z54" s="468"/>
      <c r="AA54" s="468"/>
      <c r="AB54" s="468"/>
      <c r="AC54" s="468"/>
      <c r="AD54" s="468"/>
      <c r="AE54" s="468"/>
      <c r="AF54" s="468"/>
      <c r="AG54" s="468"/>
      <c r="AH54" s="468"/>
      <c r="AI54" s="468"/>
      <c r="AJ54" s="468"/>
      <c r="AK54" s="469"/>
      <c r="BO54" s="65"/>
      <c r="BP54" s="69"/>
      <c r="BQ54" s="69"/>
      <c r="BR54" s="69"/>
      <c r="BS54" s="69"/>
      <c r="BT54" s="69"/>
      <c r="BU54" s="54"/>
      <c r="BV54" s="64"/>
      <c r="BW54" s="54"/>
      <c r="BX54" s="54"/>
    </row>
    <row r="55" spans="2:83" hidden="1" x14ac:dyDescent="0.55000000000000004">
      <c r="B55" s="467"/>
      <c r="C55" s="468"/>
      <c r="D55" s="468"/>
      <c r="E55" s="468"/>
      <c r="F55" s="468"/>
      <c r="G55" s="468"/>
      <c r="H55" s="468"/>
      <c r="I55" s="468"/>
      <c r="J55" s="468"/>
      <c r="K55" s="468"/>
      <c r="L55" s="468"/>
      <c r="M55" s="468"/>
      <c r="N55" s="468"/>
      <c r="O55" s="468"/>
      <c r="P55" s="468"/>
      <c r="Q55" s="468"/>
      <c r="R55" s="468"/>
      <c r="S55" s="468"/>
      <c r="T55" s="468"/>
      <c r="U55" s="468"/>
      <c r="V55" s="468"/>
      <c r="W55" s="468"/>
      <c r="X55" s="468"/>
      <c r="Y55" s="468"/>
      <c r="Z55" s="468"/>
      <c r="AA55" s="468"/>
      <c r="AB55" s="468"/>
      <c r="AC55" s="468"/>
      <c r="AD55" s="468"/>
      <c r="AE55" s="468"/>
      <c r="AF55" s="468"/>
      <c r="AG55" s="468"/>
      <c r="AH55" s="468"/>
      <c r="AI55" s="468"/>
      <c r="AJ55" s="468"/>
      <c r="AK55" s="469"/>
      <c r="BO55" s="65"/>
      <c r="BP55" s="69"/>
      <c r="BQ55" s="69"/>
      <c r="BR55" s="69"/>
      <c r="BS55" s="69"/>
      <c r="BT55" s="69"/>
      <c r="BU55" s="54"/>
      <c r="BV55" s="64"/>
      <c r="BW55" s="54"/>
      <c r="BX55" s="54"/>
    </row>
    <row r="56" spans="2:83" hidden="1" x14ac:dyDescent="0.55000000000000004">
      <c r="B56" s="467"/>
      <c r="C56" s="468"/>
      <c r="D56" s="468"/>
      <c r="E56" s="468"/>
      <c r="F56" s="468"/>
      <c r="G56" s="468"/>
      <c r="H56" s="468"/>
      <c r="I56" s="468"/>
      <c r="J56" s="468"/>
      <c r="K56" s="468"/>
      <c r="L56" s="468"/>
      <c r="M56" s="468"/>
      <c r="N56" s="468"/>
      <c r="O56" s="468"/>
      <c r="P56" s="468"/>
      <c r="Q56" s="468"/>
      <c r="R56" s="468"/>
      <c r="S56" s="468"/>
      <c r="T56" s="468"/>
      <c r="U56" s="468"/>
      <c r="V56" s="468"/>
      <c r="W56" s="468"/>
      <c r="X56" s="468"/>
      <c r="Y56" s="468"/>
      <c r="Z56" s="468"/>
      <c r="AA56" s="468"/>
      <c r="AB56" s="468"/>
      <c r="AC56" s="468"/>
      <c r="AD56" s="468"/>
      <c r="AE56" s="468"/>
      <c r="AF56" s="468"/>
      <c r="AG56" s="468"/>
      <c r="AH56" s="468"/>
      <c r="AI56" s="468"/>
      <c r="AJ56" s="468"/>
      <c r="AK56" s="469"/>
      <c r="BO56" s="65"/>
      <c r="BP56" s="69"/>
      <c r="BQ56" s="69"/>
      <c r="BR56" s="69"/>
      <c r="BS56" s="69"/>
      <c r="BT56" s="69"/>
      <c r="BU56" s="54"/>
      <c r="BV56" s="64"/>
      <c r="BW56" s="54"/>
      <c r="BX56" s="54"/>
    </row>
    <row r="57" spans="2:83" hidden="1" x14ac:dyDescent="0.55000000000000004">
      <c r="B57" s="470"/>
      <c r="C57" s="471"/>
      <c r="D57" s="471"/>
      <c r="E57" s="471"/>
      <c r="F57" s="471"/>
      <c r="G57" s="471"/>
      <c r="H57" s="471"/>
      <c r="I57" s="471"/>
      <c r="J57" s="471"/>
      <c r="K57" s="471"/>
      <c r="L57" s="471"/>
      <c r="M57" s="471"/>
      <c r="N57" s="471"/>
      <c r="O57" s="471"/>
      <c r="P57" s="471"/>
      <c r="Q57" s="471"/>
      <c r="R57" s="471"/>
      <c r="S57" s="471"/>
      <c r="T57" s="471"/>
      <c r="U57" s="471"/>
      <c r="V57" s="471"/>
      <c r="W57" s="471"/>
      <c r="X57" s="471"/>
      <c r="Y57" s="471"/>
      <c r="Z57" s="471"/>
      <c r="AA57" s="471"/>
      <c r="AB57" s="471"/>
      <c r="AC57" s="471"/>
      <c r="AD57" s="471"/>
      <c r="AE57" s="471"/>
      <c r="AF57" s="471"/>
      <c r="AG57" s="471"/>
      <c r="AH57" s="471"/>
      <c r="AI57" s="471"/>
      <c r="AJ57" s="471"/>
      <c r="AK57" s="472"/>
      <c r="BO57" s="65"/>
      <c r="BP57" s="69"/>
      <c r="BQ57" s="69"/>
      <c r="BR57" s="69"/>
      <c r="BS57" s="69"/>
      <c r="BT57" s="69"/>
      <c r="BU57" s="54"/>
      <c r="BV57" s="64"/>
      <c r="BW57" s="54"/>
      <c r="BX57" s="54"/>
    </row>
    <row r="58" spans="2:83" hidden="1" x14ac:dyDescent="0.55000000000000004">
      <c r="BU58" s="54"/>
      <c r="BV58" s="64"/>
      <c r="BW58" s="54"/>
      <c r="BX58" s="54"/>
    </row>
    <row r="65" spans="84:87" ht="15" customHeight="1" x14ac:dyDescent="0.55000000000000004">
      <c r="CF65" s="625" t="s">
        <v>160</v>
      </c>
      <c r="CG65" s="612" t="s">
        <v>154</v>
      </c>
      <c r="CH65" s="612" t="s">
        <v>155</v>
      </c>
    </row>
    <row r="66" spans="84:87" ht="15" customHeight="1" x14ac:dyDescent="0.55000000000000004">
      <c r="CF66" s="615"/>
      <c r="CG66" s="613"/>
      <c r="CH66" s="613"/>
    </row>
    <row r="67" spans="84:87" ht="15" customHeight="1" x14ac:dyDescent="0.55000000000000004">
      <c r="CF67" s="615"/>
      <c r="CG67" s="613"/>
      <c r="CH67" s="613"/>
    </row>
    <row r="68" spans="84:87" ht="15" customHeight="1" x14ac:dyDescent="0.55000000000000004">
      <c r="CF68" s="620" t="s">
        <v>157</v>
      </c>
      <c r="CG68" s="612">
        <f>BO5</f>
        <v>0</v>
      </c>
      <c r="CH68" s="620">
        <f xml:space="preserve">
IF(CG68="×","【要修正】「１　整備内容」：未入力または入力不十分な箇所があります。",
IF(CG68="◎","「１　整備内容」：適切に入力がされました。",
))</f>
        <v>0</v>
      </c>
      <c r="CI68" s="611" t="str">
        <f>IF(CG68="×",CF68&amp;"/","")</f>
        <v/>
      </c>
    </row>
    <row r="69" spans="84:87" ht="15" customHeight="1" x14ac:dyDescent="0.55000000000000004">
      <c r="CF69" s="618"/>
      <c r="CG69" s="613"/>
      <c r="CH69" s="618"/>
      <c r="CI69" s="599"/>
    </row>
    <row r="70" spans="84:87" ht="15" customHeight="1" x14ac:dyDescent="0.55000000000000004">
      <c r="CF70" s="618"/>
      <c r="CG70" s="613"/>
      <c r="CH70" s="618"/>
      <c r="CI70" s="599"/>
    </row>
    <row r="71" spans="84:87" ht="15" customHeight="1" x14ac:dyDescent="0.55000000000000004">
      <c r="CF71" s="620" t="s">
        <v>158</v>
      </c>
      <c r="CG71" s="612" t="str">
        <f>CC46</f>
        <v>◎</v>
      </c>
      <c r="CH71" s="620" t="str">
        <f xml:space="preserve">
IF(CG71="×","【要修正】「２　現在の設備保有状況」：未入力または入力不十分な箇所があります。",
IF(CG71="◎","「２　現在の設備保有状況」：適切に入力がされました。",
))</f>
        <v>「２　現在の設備保有状況」：適切に入力がされました。</v>
      </c>
      <c r="CI71" s="611" t="str">
        <f>IF(CG71="×",CF71&amp;"/","")</f>
        <v/>
      </c>
    </row>
    <row r="72" spans="84:87" ht="15" customHeight="1" x14ac:dyDescent="0.55000000000000004">
      <c r="CF72" s="618"/>
      <c r="CG72" s="613"/>
      <c r="CH72" s="618"/>
      <c r="CI72" s="599"/>
    </row>
    <row r="73" spans="84:87" ht="15" customHeight="1" x14ac:dyDescent="0.55000000000000004">
      <c r="CF73" s="618"/>
      <c r="CG73" s="613"/>
      <c r="CH73" s="618"/>
      <c r="CI73" s="599"/>
    </row>
    <row r="74" spans="84:87" ht="15" customHeight="1" x14ac:dyDescent="0.55000000000000004">
      <c r="CF74" s="620" t="s">
        <v>161</v>
      </c>
      <c r="CG74" s="612">
        <f>BX46</f>
        <v>0</v>
      </c>
      <c r="CH74" s="620" t="b">
        <f xml:space="preserve">
IF(CG74="×","【要修正】「３　見込まれる検査需要及び現在の検査能力」：未入力または入力不十分な箇所があります。",
IF(CG74="◎","「３　見込まれる検査需要及び現在の検査能力」：該当なし又は適切に入力がされました。"
))</f>
        <v>0</v>
      </c>
      <c r="CI74" s="611" t="str">
        <f>IF(CG74="×",CF74&amp;"/","")</f>
        <v/>
      </c>
    </row>
    <row r="75" spans="84:87" ht="15" customHeight="1" x14ac:dyDescent="0.55000000000000004">
      <c r="CF75" s="618"/>
      <c r="CG75" s="613"/>
      <c r="CH75" s="618"/>
      <c r="CI75" s="599"/>
    </row>
    <row r="76" spans="84:87" ht="15" customHeight="1" x14ac:dyDescent="0.55000000000000004">
      <c r="CF76" s="618"/>
      <c r="CG76" s="613"/>
      <c r="CH76" s="618"/>
      <c r="CI76" s="599"/>
    </row>
    <row r="77" spans="84:87" ht="15" customHeight="1" x14ac:dyDescent="0.55000000000000004">
      <c r="CF77" s="622" t="s">
        <v>159</v>
      </c>
      <c r="CG77" s="612">
        <f>BO50</f>
        <v>0</v>
      </c>
      <c r="CH77" s="620" t="b">
        <f xml:space="preserve">
IF(CG77="×","【要修正】「４　整備理由」：未入力の状態です。",
IF(CG77="◎","「４　整備理由」：適切に入力がされました。"
))</f>
        <v>0</v>
      </c>
      <c r="CI77" s="611" t="str">
        <f>IF(CG77="×",CF77&amp;"/","")</f>
        <v/>
      </c>
    </row>
    <row r="78" spans="84:87" ht="15" customHeight="1" x14ac:dyDescent="0.55000000000000004">
      <c r="CF78" s="623"/>
      <c r="CG78" s="613"/>
      <c r="CH78" s="618"/>
      <c r="CI78" s="599"/>
    </row>
    <row r="79" spans="84:87" ht="15" customHeight="1" thickBot="1" x14ac:dyDescent="0.6">
      <c r="CF79" s="624"/>
      <c r="CG79" s="619"/>
      <c r="CH79" s="621"/>
      <c r="CI79" s="599"/>
    </row>
    <row r="80" spans="84:87" ht="20.149999999999999" customHeight="1" thickTop="1" x14ac:dyDescent="0.55000000000000004">
      <c r="CF80" s="614" t="s">
        <v>162</v>
      </c>
      <c r="CG80" s="616" t="str">
        <f>IF(COUNTIF(CG68:CG79,"◎")=4,"○","×")</f>
        <v>×</v>
      </c>
      <c r="CH80" s="617" t="str">
        <f xml:space="preserve">
IF(CG80="×","【要修正】以下の項目の入力状況を再度確認してください。"&amp;CHAR(10)&amp;"→"&amp;CI68&amp;CI71&amp;CI74&amp;CI77,
IF(CG80="○","適切に入力がされました。"
))</f>
        <v>【要修正】以下の項目の入力状況を再度確認してください。
→</v>
      </c>
      <c r="CI80" s="611" t="str">
        <f>CI68&amp;CI71&amp;CI74&amp;CI77</f>
        <v/>
      </c>
    </row>
    <row r="81" spans="70:87" ht="20.149999999999999" customHeight="1" x14ac:dyDescent="0.55000000000000004">
      <c r="CF81" s="615"/>
      <c r="CG81" s="613"/>
      <c r="CH81" s="618"/>
      <c r="CI81" s="599"/>
    </row>
    <row r="82" spans="70:87" ht="20.149999999999999" customHeight="1" x14ac:dyDescent="0.55000000000000004">
      <c r="CF82" s="615"/>
      <c r="CG82" s="613"/>
      <c r="CH82" s="618"/>
      <c r="CI82" s="599"/>
    </row>
    <row r="87" spans="70:87" x14ac:dyDescent="0.55000000000000004">
      <c r="BR87" s="15" t="s">
        <v>124</v>
      </c>
    </row>
    <row r="88" spans="70:87" x14ac:dyDescent="0.55000000000000004">
      <c r="BR88" s="15" t="s">
        <v>125</v>
      </c>
    </row>
    <row r="89" spans="70:87" x14ac:dyDescent="0.55000000000000004">
      <c r="BR89" s="15" t="s">
        <v>126</v>
      </c>
    </row>
    <row r="90" spans="70:87" x14ac:dyDescent="0.55000000000000004">
      <c r="BR90" s="15" t="s">
        <v>127</v>
      </c>
    </row>
    <row r="91" spans="70:87" x14ac:dyDescent="0.55000000000000004">
      <c r="BR91" s="15" t="s">
        <v>147</v>
      </c>
    </row>
    <row r="92" spans="70:87" x14ac:dyDescent="0.55000000000000004">
      <c r="BR92" s="15" t="s">
        <v>119</v>
      </c>
    </row>
    <row r="93" spans="70:87" x14ac:dyDescent="0.55000000000000004">
      <c r="BR93" s="15" t="s">
        <v>120</v>
      </c>
    </row>
  </sheetData>
  <sheetProtection algorithmName="SHA-512" hashValue="rG0WqyxQawy1GF3SYCeQP17zCLAkH5I6tlc3j+WRKVweWlcA5rHAb8qTWqYciZDUAEBsU7EBne4GRaS7+S1hzQ==" saltValue="AK/uzcAiJIJWW2d7pJq4cg==" spinCount="100000" sheet="1" objects="1" scenarios="1"/>
  <mergeCells count="173">
    <mergeCell ref="CC46:CC51"/>
    <mergeCell ref="BZ46:BZ48"/>
    <mergeCell ref="BZ49:BZ51"/>
    <mergeCell ref="BU46:BU48"/>
    <mergeCell ref="CA9:CA12"/>
    <mergeCell ref="CB8:CE8"/>
    <mergeCell ref="CB9:CE12"/>
    <mergeCell ref="BP7:BP18"/>
    <mergeCell ref="BS31:BU31"/>
    <mergeCell ref="BS32:BU32"/>
    <mergeCell ref="BS33:BU33"/>
    <mergeCell ref="BP32:BP33"/>
    <mergeCell ref="BP43:BP44"/>
    <mergeCell ref="BQ42:BU42"/>
    <mergeCell ref="BQ43:BU44"/>
    <mergeCell ref="B15:G22"/>
    <mergeCell ref="H15:J16"/>
    <mergeCell ref="K15:P16"/>
    <mergeCell ref="Q15:S16"/>
    <mergeCell ref="T15:Y16"/>
    <mergeCell ref="Z15:AE16"/>
    <mergeCell ref="H17:J18"/>
    <mergeCell ref="K17:P18"/>
    <mergeCell ref="Q17:S18"/>
    <mergeCell ref="T17:Y18"/>
    <mergeCell ref="Z17:AE18"/>
    <mergeCell ref="H19:J20"/>
    <mergeCell ref="K19:P20"/>
    <mergeCell ref="Q19:S20"/>
    <mergeCell ref="T19:Y20"/>
    <mergeCell ref="Z19:AE20"/>
    <mergeCell ref="H21:J22"/>
    <mergeCell ref="K21:P22"/>
    <mergeCell ref="Q21:S22"/>
    <mergeCell ref="T21:Y22"/>
    <mergeCell ref="CI68:CI70"/>
    <mergeCell ref="CI71:CI73"/>
    <mergeCell ref="CI74:CI76"/>
    <mergeCell ref="CI77:CI79"/>
    <mergeCell ref="CG65:CG67"/>
    <mergeCell ref="CH65:CH67"/>
    <mergeCell ref="CF80:CF82"/>
    <mergeCell ref="CG80:CG82"/>
    <mergeCell ref="CH80:CH82"/>
    <mergeCell ref="CG68:CG70"/>
    <mergeCell ref="CG71:CG73"/>
    <mergeCell ref="CG74:CG76"/>
    <mergeCell ref="CG77:CG79"/>
    <mergeCell ref="CH68:CH70"/>
    <mergeCell ref="CH71:CH73"/>
    <mergeCell ref="CH74:CH76"/>
    <mergeCell ref="CH77:CH79"/>
    <mergeCell ref="CF68:CF70"/>
    <mergeCell ref="CF71:CF73"/>
    <mergeCell ref="CF74:CF76"/>
    <mergeCell ref="CF77:CF79"/>
    <mergeCell ref="CI80:CI82"/>
    <mergeCell ref="CF65:CF67"/>
    <mergeCell ref="CF25:CF27"/>
    <mergeCell ref="BR7:BR12"/>
    <mergeCell ref="BR13:BR18"/>
    <mergeCell ref="BQ7:BQ12"/>
    <mergeCell ref="BQ13:BQ18"/>
    <mergeCell ref="AP29:AP30"/>
    <mergeCell ref="AQ29:AQ30"/>
    <mergeCell ref="AR29:AR30"/>
    <mergeCell ref="CA49:CA51"/>
    <mergeCell ref="CB49:CB51"/>
    <mergeCell ref="AP33:AP34"/>
    <mergeCell ref="AQ33:AQ34"/>
    <mergeCell ref="AR33:AR34"/>
    <mergeCell ref="CA46:CA48"/>
    <mergeCell ref="CB46:CB48"/>
    <mergeCell ref="AP31:AP32"/>
    <mergeCell ref="AQ31:AQ32"/>
    <mergeCell ref="AR31:AR32"/>
    <mergeCell ref="AU30:AU31"/>
    <mergeCell ref="AU32:AU33"/>
    <mergeCell ref="AV30:AV31"/>
    <mergeCell ref="AW30:AW31"/>
    <mergeCell ref="AV32:AV33"/>
    <mergeCell ref="AW32:AW33"/>
    <mergeCell ref="AU27:AU29"/>
    <mergeCell ref="AV27:AV29"/>
    <mergeCell ref="AW27:AW29"/>
    <mergeCell ref="BQ50:BU50"/>
    <mergeCell ref="BP51:BP52"/>
    <mergeCell ref="AU24:AU26"/>
    <mergeCell ref="AV24:AV26"/>
    <mergeCell ref="AW24:AW26"/>
    <mergeCell ref="Z6:AE6"/>
    <mergeCell ref="Z21:AE22"/>
    <mergeCell ref="AF15:AK22"/>
    <mergeCell ref="AF33:AK34"/>
    <mergeCell ref="AP42:AP43"/>
    <mergeCell ref="AQ42:AQ43"/>
    <mergeCell ref="AR42:AR43"/>
    <mergeCell ref="AP40:AP41"/>
    <mergeCell ref="AQ40:AQ41"/>
    <mergeCell ref="AR40:AR41"/>
    <mergeCell ref="BQ51:BU52"/>
    <mergeCell ref="AF31:AK32"/>
    <mergeCell ref="B2:G2"/>
    <mergeCell ref="B3:AK3"/>
    <mergeCell ref="B7:G14"/>
    <mergeCell ref="AF7:AK14"/>
    <mergeCell ref="Q7:S8"/>
    <mergeCell ref="Q9:S10"/>
    <mergeCell ref="Q13:S14"/>
    <mergeCell ref="K7:P8"/>
    <mergeCell ref="K9:P10"/>
    <mergeCell ref="K13:P14"/>
    <mergeCell ref="T6:Y6"/>
    <mergeCell ref="Q5:S6"/>
    <mergeCell ref="K5:P6"/>
    <mergeCell ref="T5:AE5"/>
    <mergeCell ref="H5:J6"/>
    <mergeCell ref="H7:J8"/>
    <mergeCell ref="H9:J10"/>
    <mergeCell ref="AI2:AL2"/>
    <mergeCell ref="AE2:AH2"/>
    <mergeCell ref="H29:M30"/>
    <mergeCell ref="AF5:AK6"/>
    <mergeCell ref="B5:G6"/>
    <mergeCell ref="B23:Y24"/>
    <mergeCell ref="Z23:AE24"/>
    <mergeCell ref="AF23:AK24"/>
    <mergeCell ref="B29:G30"/>
    <mergeCell ref="B28:AK28"/>
    <mergeCell ref="AF29:AK30"/>
    <mergeCell ref="N29:S30"/>
    <mergeCell ref="T29:Y30"/>
    <mergeCell ref="Z29:AE30"/>
    <mergeCell ref="H13:J14"/>
    <mergeCell ref="T7:Y8"/>
    <mergeCell ref="Z7:AE8"/>
    <mergeCell ref="T9:Y10"/>
    <mergeCell ref="Z9:AE10"/>
    <mergeCell ref="T13:Y14"/>
    <mergeCell ref="Z13:AE14"/>
    <mergeCell ref="H11:J12"/>
    <mergeCell ref="K11:P12"/>
    <mergeCell ref="Q11:S12"/>
    <mergeCell ref="T11:Y12"/>
    <mergeCell ref="Z11:AE12"/>
    <mergeCell ref="H31:M32"/>
    <mergeCell ref="N31:S32"/>
    <mergeCell ref="T31:Y32"/>
    <mergeCell ref="Z31:AE32"/>
    <mergeCell ref="B35:M36"/>
    <mergeCell ref="B33:G34"/>
    <mergeCell ref="H33:M34"/>
    <mergeCell ref="N33:S34"/>
    <mergeCell ref="T33:Y34"/>
    <mergeCell ref="Z33:AE34"/>
    <mergeCell ref="B31:G32"/>
    <mergeCell ref="N39:S41"/>
    <mergeCell ref="B39:G41"/>
    <mergeCell ref="Z39:AE41"/>
    <mergeCell ref="B50:AK57"/>
    <mergeCell ref="B49:AK49"/>
    <mergeCell ref="N35:S36"/>
    <mergeCell ref="T35:Y36"/>
    <mergeCell ref="Z35:AE36"/>
    <mergeCell ref="T39:Y41"/>
    <mergeCell ref="AF35:AK36"/>
    <mergeCell ref="B46:AK47"/>
    <mergeCell ref="B42:G43"/>
    <mergeCell ref="H42:M43"/>
    <mergeCell ref="N42:S43"/>
    <mergeCell ref="T42:Y43"/>
    <mergeCell ref="Z42:AE43"/>
    <mergeCell ref="H39:M41"/>
  </mergeCells>
  <phoneticPr fontId="1"/>
  <conditionalFormatting sqref="BV49">
    <cfRule type="containsText" dxfId="28" priority="28" operator="containsText" text="×">
      <formula>NOT(ISERROR(SEARCH("×",BV49)))</formula>
    </cfRule>
  </conditionalFormatting>
  <conditionalFormatting sqref="BV50">
    <cfRule type="containsText" dxfId="27" priority="27" operator="containsText" text="×">
      <formula>NOT(ISERROR(SEARCH("×",BV50)))</formula>
    </cfRule>
  </conditionalFormatting>
  <conditionalFormatting sqref="BV40">
    <cfRule type="containsText" dxfId="26" priority="26" operator="containsText" text="×">
      <formula>NOT(ISERROR(SEARCH("×",BV40)))</formula>
    </cfRule>
  </conditionalFormatting>
  <conditionalFormatting sqref="BW40">
    <cfRule type="containsText" dxfId="25" priority="25" operator="containsText" text="要修正">
      <formula>NOT(ISERROR(SEARCH("要修正",BW40)))</formula>
    </cfRule>
  </conditionalFormatting>
  <conditionalFormatting sqref="BV38:BV40">
    <cfRule type="containsText" dxfId="24" priority="24" operator="containsText" text="×">
      <formula>NOT(ISERROR(SEARCH("×",BV38)))</formula>
    </cfRule>
  </conditionalFormatting>
  <conditionalFormatting sqref="BW38:BW40">
    <cfRule type="containsText" dxfId="23" priority="23" operator="containsText" text="要修正">
      <formula>NOT(ISERROR(SEARCH("要修正",BW38)))</formula>
    </cfRule>
  </conditionalFormatting>
  <conditionalFormatting sqref="BV45">
    <cfRule type="containsText" dxfId="22" priority="22" operator="containsText" text="×">
      <formula>NOT(ISERROR(SEARCH("×",BV45)))</formula>
    </cfRule>
  </conditionalFormatting>
  <conditionalFormatting sqref="BW45">
    <cfRule type="containsText" dxfId="21" priority="21" operator="containsText" text="要修正">
      <formula>NOT(ISERROR(SEARCH("要修正",BW45)))</formula>
    </cfRule>
  </conditionalFormatting>
  <conditionalFormatting sqref="BV43:BV45">
    <cfRule type="containsText" dxfId="20" priority="20" operator="containsText" text="×">
      <formula>NOT(ISERROR(SEARCH("×",BV43)))</formula>
    </cfRule>
  </conditionalFormatting>
  <conditionalFormatting sqref="BW43:BW45">
    <cfRule type="containsText" dxfId="19" priority="19" operator="containsText" text="要修正">
      <formula>NOT(ISERROR(SEARCH("要修正",BW43)))</formula>
    </cfRule>
  </conditionalFormatting>
  <conditionalFormatting sqref="BX38:BX40 BX43:BX50">
    <cfRule type="containsText" dxfId="18" priority="18" operator="containsText" text="×">
      <formula>NOT(ISERROR(SEARCH("×",BX38)))</formula>
    </cfRule>
  </conditionalFormatting>
  <conditionalFormatting sqref="BV38:BV40 BV43:BV50">
    <cfRule type="containsText" dxfId="17" priority="17" operator="containsText" text="×">
      <formula>NOT(ISERROR(SEARCH("×",BV38)))</formula>
    </cfRule>
  </conditionalFormatting>
  <conditionalFormatting sqref="BW38:BW40 BW43:BW50">
    <cfRule type="containsText" dxfId="16" priority="16" operator="containsText" text="要修正">
      <formula>NOT(ISERROR(SEARCH("要修正",BW38)))</formula>
    </cfRule>
  </conditionalFormatting>
  <conditionalFormatting sqref="BV41:BV42">
    <cfRule type="containsText" dxfId="15" priority="13" operator="containsText" text="×">
      <formula>NOT(ISERROR(SEARCH("×",BV41)))</formula>
    </cfRule>
  </conditionalFormatting>
  <conditionalFormatting sqref="BW41:BW42">
    <cfRule type="containsText" dxfId="14" priority="12" operator="containsText" text="要修正">
      <formula>NOT(ISERROR(SEARCH("要修正",BW41)))</formula>
    </cfRule>
  </conditionalFormatting>
  <conditionalFormatting sqref="BX41:BX42">
    <cfRule type="containsText" dxfId="13" priority="11" operator="containsText" text="×">
      <formula>NOT(ISERROR(SEARCH("×",BX41)))</formula>
    </cfRule>
  </conditionalFormatting>
  <conditionalFormatting sqref="BV41:BV42">
    <cfRule type="containsText" dxfId="12" priority="10" operator="containsText" text="×">
      <formula>NOT(ISERROR(SEARCH("×",BV41)))</formula>
    </cfRule>
  </conditionalFormatting>
  <conditionalFormatting sqref="BW41:BW42">
    <cfRule type="containsText" dxfId="11" priority="9" operator="containsText" text="要修正">
      <formula>NOT(ISERROR(SEARCH("要修正",BW41)))</formula>
    </cfRule>
  </conditionalFormatting>
  <conditionalFormatting sqref="CG65:CG82">
    <cfRule type="containsText" dxfId="10" priority="8" operator="containsText" text="×">
      <formula>NOT(ISERROR(SEARCH("×",CG65)))</formula>
    </cfRule>
  </conditionalFormatting>
  <conditionalFormatting sqref="BR32:BR33 BP32:BP33 BP43:BP44 BP51:BP52 BT7:BT18">
    <cfRule type="containsText" dxfId="9" priority="7" operator="containsText" text="×">
      <formula>NOT(ISERROR(SEARCH("×",BP7)))</formula>
    </cfRule>
  </conditionalFormatting>
  <conditionalFormatting sqref="BU7:BU18 BS32:BU33 BQ43:BU44 BQ51:BU52">
    <cfRule type="containsText" dxfId="8" priority="6" operator="containsText" text="要修正">
      <formula>NOT(ISERROR(SEARCH("要修正",BQ7)))</formula>
    </cfRule>
  </conditionalFormatting>
  <conditionalFormatting sqref="BZ9:BZ12">
    <cfRule type="containsText" dxfId="7" priority="5" operator="containsText" text="×">
      <formula>NOT(ISERROR(SEARCH("×",BZ9)))</formula>
    </cfRule>
  </conditionalFormatting>
  <conditionalFormatting sqref="CA9:CA12">
    <cfRule type="containsText" dxfId="6" priority="4" operator="containsText" text="×">
      <formula>NOT(ISERROR(SEARCH("×",CA9)))</formula>
    </cfRule>
  </conditionalFormatting>
  <conditionalFormatting sqref="CB13">
    <cfRule type="containsText" dxfId="5" priority="3" operator="containsText" text="要修正">
      <formula>NOT(ISERROR(SEARCH("要修正",CB13)))</formula>
    </cfRule>
  </conditionalFormatting>
  <conditionalFormatting sqref="CB9:CE12">
    <cfRule type="containsText" dxfId="4" priority="2" operator="containsText" text="要修正">
      <formula>NOT(ISERROR(SEARCH("要修正",CB9)))</formula>
    </cfRule>
  </conditionalFormatting>
  <conditionalFormatting sqref="BP7:BQ18">
    <cfRule type="containsText" dxfId="3" priority="1" operator="containsText" text="×">
      <formula>NOT(ISERROR(SEARCH("×",BP7)))</formula>
    </cfRule>
  </conditionalFormatting>
  <dataValidations xWindow="424" yWindow="780" count="16">
    <dataValidation type="list" allowBlank="1" showInputMessage="1" showErrorMessage="1" promptTitle="リストから選択してください。" prompt="既存の検査設備がある場合、当該機器の種別をプルダウンから選択してください。" sqref="B31:G34" xr:uid="{00000000-0002-0000-0600-000000000000}">
      <formula1>$BR$87:$BR$90</formula1>
    </dataValidation>
    <dataValidation type="list" allowBlank="1" showInputMessage="1" showErrorMessage="1" promptTitle="リストから必ず選択・入力してください。" prompt="過年度の検査設備整備補助を活用して整備した場合はその年度を、自主整備による場合はその旨をプルダウンのリストから選択してください。" sqref="AF31:AK34" xr:uid="{00000000-0002-0000-0600-000001000000}">
      <formula1>$BR$91:$BR$93</formula1>
    </dataValidation>
    <dataValidation type="list" allowBlank="1" showInputMessage="1" showErrorMessage="1" promptTitle="リストから選択してください。" prompt="導入する機器の種別をプルダウンから選択してください。" sqref="B7:G22" xr:uid="{00000000-0002-0000-0600-000002000000}">
      <formula1>$BR$87:$BR$90</formula1>
    </dataValidation>
    <dataValidation allowBlank="1" showInputMessage="1" showErrorMessage="1" promptTitle="整備する機器の規格・型番を入力してください。" prompt="カタログ等に記載の導入設備の規格・型番を入力してください。" sqref="K7:P8 K15:P16" xr:uid="{00000000-0002-0000-0600-000003000000}"/>
    <dataValidation allowBlank="1" showInputMessage="1" showErrorMessage="1" promptTitle="付属備品の購入がある場合は入力" prompt="購入する付属備品の規格・型番を入力してください。_x000a_なお、本補助金は設備の整備を目的とするものであることから、消耗品の購入分は計上しないようにしてください。" sqref="K9:P14 K17:P22" xr:uid="{00000000-0002-0000-0600-000004000000}"/>
    <dataValidation allowBlank="1" showInputMessage="1" showErrorMessage="1" promptTitle="整備する機器の台数を入力" prompt="整備する機器の台数を入力してください。「台」等の単位は入力しないでください。（申請額の自動計算に影響が生じます。）" sqref="Q7:S8 Q15:S16" xr:uid="{00000000-0002-0000-0600-000005000000}"/>
    <dataValidation allowBlank="1" showInputMessage="1" showErrorMessage="1" promptTitle="付属備品の購入がある場合は数量を入力" prompt="購入する付属備品の数量を入力してください。「個」等の単位は入力しないでください。（申請額の自動計算に影響が生じます。）" sqref="Q9:S14 Q17:S22" xr:uid="{00000000-0002-0000-0600-000006000000}"/>
    <dataValidation allowBlank="1" showInputMessage="1" showErrorMessage="1" promptTitle="個数あたりの金額を入力" prompt="購入する備品等の数量１あたりの単価（税込）を入力してください。_x000a_金額を入力すると、左欄に入力の数量×単価による総額が右欄に表示されます。" sqref="T7:Y22" xr:uid="{00000000-0002-0000-0600-000007000000}"/>
    <dataValidation allowBlank="1" showInputMessage="1" showErrorMessage="1" promptTitle="検査分析可能見込み件数を入力" prompt="機器１台導入により分析可能な１日あたり見込み件数を入力してください。_x000a_件数は、貴院における検査業務に携わる要員数を加味したものとしてください。" sqref="AF7:AK22" xr:uid="{00000000-0002-0000-0600-000008000000}"/>
    <dataValidation allowBlank="1" showInputMessage="1" showErrorMessage="1" promptTitle="型番・規格を入力" prompt="既存設備がある場合、当該設備の規格・型番を入力してください。" sqref="H31:M34" xr:uid="{00000000-0002-0000-0600-000009000000}"/>
    <dataValidation allowBlank="1" showInputMessage="1" showErrorMessage="1" promptTitle="台数を入力" prompt="既存の検査設備がある場合は入力してください。" sqref="N31:S34" xr:uid="{00000000-0002-0000-0600-00000A000000}"/>
    <dataValidation allowBlank="1" showInputMessage="1" showErrorMessage="1" promptTitle="分析可能件数を入力" prompt="既存設備を利用しての検査分析可能件数（１日あたり）を入力してください。_x000a_なお、件数は貴院において検査業務に従事する要員数を加味したものとしてください。" sqref="T31:Y34" xr:uid="{00000000-0002-0000-0600-00000B000000}"/>
    <dataValidation allowBlank="1" showInputMessage="1" showErrorMessage="1" promptTitle="貴院における行政検査実施件数を入力" prompt="令和４年１月以降から申請時点にかけ、貴院において実施した行政検査の件数を入力してください。（数字のみ入力してください。「件」等の単位は入力不要）（件数については、県においてHER-SYS等により確認させていただく場合があります。）" sqref="B42:G43" xr:uid="{00000000-0002-0000-0600-00000C000000}"/>
    <dataValidation allowBlank="1" showInputMessage="1" showErrorMessage="1" promptTitle="行政検査を実施した日数を入力" prompt="右欄において、１日あたりの平均実施件数を算出するため、令和４年１月から申請時点までにおける行政検査の実施日数を入力してください。（数字のみ入力してください。「日」等の単位は入力不要）" sqref="H42:M43" xr:uid="{00000000-0002-0000-0600-00000D000000}"/>
    <dataValidation allowBlank="1" showInputMessage="1" showErrorMessage="1" promptTitle="最大検査件数を入力" prompt="令和４年１月から申請時点にかけて１日あたり最大の行政検査の実施件数を入力してください。（数字のみ入力してください。「件」等の単位は入力不要）" sqref="T42:Y43" xr:uid="{00000000-0002-0000-0600-00000E000000}"/>
    <dataValidation allowBlank="1" showInputMessage="1" showErrorMessage="1" promptTitle="自動計算" prompt="１において入力の整備台数×１台あたり検査分析可能件数及び、２において入力の整備台数×１台あたり検査分析可能件数の総和が表示されます。" sqref="Z42:AE43" xr:uid="{00000000-0002-0000-0600-00000F000000}"/>
  </dataValidations>
  <pageMargins left="0.7" right="0.7" top="0.75" bottom="0.75" header="0.3" footer="0.3"/>
  <pageSetup paperSize="9" scale="5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AG44"/>
  <sheetViews>
    <sheetView showGridLines="0" view="pageBreakPreview" zoomScale="70" zoomScaleNormal="60" zoomScaleSheetLayoutView="70" workbookViewId="0">
      <selection activeCell="J39" sqref="J39"/>
    </sheetView>
  </sheetViews>
  <sheetFormatPr defaultRowHeight="18" x14ac:dyDescent="0.55000000000000004"/>
  <cols>
    <col min="1" max="1" width="9" style="37"/>
    <col min="2" max="8" width="12.58203125" style="37" customWidth="1"/>
    <col min="9" max="23" width="9" style="37"/>
    <col min="24" max="24" width="11.58203125" style="37" bestFit="1" customWidth="1"/>
    <col min="25" max="25" width="10.5" style="37" bestFit="1" customWidth="1"/>
    <col min="26" max="26" width="10.75" style="37" bestFit="1" customWidth="1"/>
    <col min="27" max="264" width="9" style="37"/>
    <col min="265" max="265" width="12.5" style="37" customWidth="1"/>
    <col min="266" max="268" width="10.58203125" style="37" customWidth="1"/>
    <col min="269" max="271" width="12.58203125" style="37" customWidth="1"/>
    <col min="272" max="272" width="9" style="37"/>
    <col min="273" max="273" width="11.58203125" style="37" bestFit="1" customWidth="1"/>
    <col min="274" max="520" width="9" style="37"/>
    <col min="521" max="521" width="12.5" style="37" customWidth="1"/>
    <col min="522" max="524" width="10.58203125" style="37" customWidth="1"/>
    <col min="525" max="527" width="12.58203125" style="37" customWidth="1"/>
    <col min="528" max="528" width="9" style="37"/>
    <col min="529" max="529" width="11.58203125" style="37" bestFit="1" customWidth="1"/>
    <col min="530" max="776" width="9" style="37"/>
    <col min="777" max="777" width="12.5" style="37" customWidth="1"/>
    <col min="778" max="780" width="10.58203125" style="37" customWidth="1"/>
    <col min="781" max="783" width="12.58203125" style="37" customWidth="1"/>
    <col min="784" max="784" width="9" style="37"/>
    <col min="785" max="785" width="11.58203125" style="37" bestFit="1" customWidth="1"/>
    <col min="786" max="1032" width="9" style="37"/>
    <col min="1033" max="1033" width="12.5" style="37" customWidth="1"/>
    <col min="1034" max="1036" width="10.58203125" style="37" customWidth="1"/>
    <col min="1037" max="1039" width="12.58203125" style="37" customWidth="1"/>
    <col min="1040" max="1040" width="9" style="37"/>
    <col min="1041" max="1041" width="11.58203125" style="37" bestFit="1" customWidth="1"/>
    <col min="1042" max="1288" width="9" style="37"/>
    <col min="1289" max="1289" width="12.5" style="37" customWidth="1"/>
    <col min="1290" max="1292" width="10.58203125" style="37" customWidth="1"/>
    <col min="1293" max="1295" width="12.58203125" style="37" customWidth="1"/>
    <col min="1296" max="1296" width="9" style="37"/>
    <col min="1297" max="1297" width="11.58203125" style="37" bestFit="1" customWidth="1"/>
    <col min="1298" max="1544" width="9" style="37"/>
    <col min="1545" max="1545" width="12.5" style="37" customWidth="1"/>
    <col min="1546" max="1548" width="10.58203125" style="37" customWidth="1"/>
    <col min="1549" max="1551" width="12.58203125" style="37" customWidth="1"/>
    <col min="1552" max="1552" width="9" style="37"/>
    <col min="1553" max="1553" width="11.58203125" style="37" bestFit="1" customWidth="1"/>
    <col min="1554" max="1800" width="9" style="37"/>
    <col min="1801" max="1801" width="12.5" style="37" customWidth="1"/>
    <col min="1802" max="1804" width="10.58203125" style="37" customWidth="1"/>
    <col min="1805" max="1807" width="12.58203125" style="37" customWidth="1"/>
    <col min="1808" max="1808" width="9" style="37"/>
    <col min="1809" max="1809" width="11.58203125" style="37" bestFit="1" customWidth="1"/>
    <col min="1810" max="2056" width="9" style="37"/>
    <col min="2057" max="2057" width="12.5" style="37" customWidth="1"/>
    <col min="2058" max="2060" width="10.58203125" style="37" customWidth="1"/>
    <col min="2061" max="2063" width="12.58203125" style="37" customWidth="1"/>
    <col min="2064" max="2064" width="9" style="37"/>
    <col min="2065" max="2065" width="11.58203125" style="37" bestFit="1" customWidth="1"/>
    <col min="2066" max="2312" width="9" style="37"/>
    <col min="2313" max="2313" width="12.5" style="37" customWidth="1"/>
    <col min="2314" max="2316" width="10.58203125" style="37" customWidth="1"/>
    <col min="2317" max="2319" width="12.58203125" style="37" customWidth="1"/>
    <col min="2320" max="2320" width="9" style="37"/>
    <col min="2321" max="2321" width="11.58203125" style="37" bestFit="1" customWidth="1"/>
    <col min="2322" max="2568" width="9" style="37"/>
    <col min="2569" max="2569" width="12.5" style="37" customWidth="1"/>
    <col min="2570" max="2572" width="10.58203125" style="37" customWidth="1"/>
    <col min="2573" max="2575" width="12.58203125" style="37" customWidth="1"/>
    <col min="2576" max="2576" width="9" style="37"/>
    <col min="2577" max="2577" width="11.58203125" style="37" bestFit="1" customWidth="1"/>
    <col min="2578" max="2824" width="9" style="37"/>
    <col min="2825" max="2825" width="12.5" style="37" customWidth="1"/>
    <col min="2826" max="2828" width="10.58203125" style="37" customWidth="1"/>
    <col min="2829" max="2831" width="12.58203125" style="37" customWidth="1"/>
    <col min="2832" max="2832" width="9" style="37"/>
    <col min="2833" max="2833" width="11.58203125" style="37" bestFit="1" customWidth="1"/>
    <col min="2834" max="3080" width="9" style="37"/>
    <col min="3081" max="3081" width="12.5" style="37" customWidth="1"/>
    <col min="3082" max="3084" width="10.58203125" style="37" customWidth="1"/>
    <col min="3085" max="3087" width="12.58203125" style="37" customWidth="1"/>
    <col min="3088" max="3088" width="9" style="37"/>
    <col min="3089" max="3089" width="11.58203125" style="37" bestFit="1" customWidth="1"/>
    <col min="3090" max="3336" width="9" style="37"/>
    <col min="3337" max="3337" width="12.5" style="37" customWidth="1"/>
    <col min="3338" max="3340" width="10.58203125" style="37" customWidth="1"/>
    <col min="3341" max="3343" width="12.58203125" style="37" customWidth="1"/>
    <col min="3344" max="3344" width="9" style="37"/>
    <col min="3345" max="3345" width="11.58203125" style="37" bestFit="1" customWidth="1"/>
    <col min="3346" max="3592" width="9" style="37"/>
    <col min="3593" max="3593" width="12.5" style="37" customWidth="1"/>
    <col min="3594" max="3596" width="10.58203125" style="37" customWidth="1"/>
    <col min="3597" max="3599" width="12.58203125" style="37" customWidth="1"/>
    <col min="3600" max="3600" width="9" style="37"/>
    <col min="3601" max="3601" width="11.58203125" style="37" bestFit="1" customWidth="1"/>
    <col min="3602" max="3848" width="9" style="37"/>
    <col min="3849" max="3849" width="12.5" style="37" customWidth="1"/>
    <col min="3850" max="3852" width="10.58203125" style="37" customWidth="1"/>
    <col min="3853" max="3855" width="12.58203125" style="37" customWidth="1"/>
    <col min="3856" max="3856" width="9" style="37"/>
    <col min="3857" max="3857" width="11.58203125" style="37" bestFit="1" customWidth="1"/>
    <col min="3858" max="4104" width="9" style="37"/>
    <col min="4105" max="4105" width="12.5" style="37" customWidth="1"/>
    <col min="4106" max="4108" width="10.58203125" style="37" customWidth="1"/>
    <col min="4109" max="4111" width="12.58203125" style="37" customWidth="1"/>
    <col min="4112" max="4112" width="9" style="37"/>
    <col min="4113" max="4113" width="11.58203125" style="37" bestFit="1" customWidth="1"/>
    <col min="4114" max="4360" width="9" style="37"/>
    <col min="4361" max="4361" width="12.5" style="37" customWidth="1"/>
    <col min="4362" max="4364" width="10.58203125" style="37" customWidth="1"/>
    <col min="4365" max="4367" width="12.58203125" style="37" customWidth="1"/>
    <col min="4368" max="4368" width="9" style="37"/>
    <col min="4369" max="4369" width="11.58203125" style="37" bestFit="1" customWidth="1"/>
    <col min="4370" max="4616" width="9" style="37"/>
    <col min="4617" max="4617" width="12.5" style="37" customWidth="1"/>
    <col min="4618" max="4620" width="10.58203125" style="37" customWidth="1"/>
    <col min="4621" max="4623" width="12.58203125" style="37" customWidth="1"/>
    <col min="4624" max="4624" width="9" style="37"/>
    <col min="4625" max="4625" width="11.58203125" style="37" bestFit="1" customWidth="1"/>
    <col min="4626" max="4872" width="9" style="37"/>
    <col min="4873" max="4873" width="12.5" style="37" customWidth="1"/>
    <col min="4874" max="4876" width="10.58203125" style="37" customWidth="1"/>
    <col min="4877" max="4879" width="12.58203125" style="37" customWidth="1"/>
    <col min="4880" max="4880" width="9" style="37"/>
    <col min="4881" max="4881" width="11.58203125" style="37" bestFit="1" customWidth="1"/>
    <col min="4882" max="5128" width="9" style="37"/>
    <col min="5129" max="5129" width="12.5" style="37" customWidth="1"/>
    <col min="5130" max="5132" width="10.58203125" style="37" customWidth="1"/>
    <col min="5133" max="5135" width="12.58203125" style="37" customWidth="1"/>
    <col min="5136" max="5136" width="9" style="37"/>
    <col min="5137" max="5137" width="11.58203125" style="37" bestFit="1" customWidth="1"/>
    <col min="5138" max="5384" width="9" style="37"/>
    <col min="5385" max="5385" width="12.5" style="37" customWidth="1"/>
    <col min="5386" max="5388" width="10.58203125" style="37" customWidth="1"/>
    <col min="5389" max="5391" width="12.58203125" style="37" customWidth="1"/>
    <col min="5392" max="5392" width="9" style="37"/>
    <col min="5393" max="5393" width="11.58203125" style="37" bestFit="1" customWidth="1"/>
    <col min="5394" max="5640" width="9" style="37"/>
    <col min="5641" max="5641" width="12.5" style="37" customWidth="1"/>
    <col min="5642" max="5644" width="10.58203125" style="37" customWidth="1"/>
    <col min="5645" max="5647" width="12.58203125" style="37" customWidth="1"/>
    <col min="5648" max="5648" width="9" style="37"/>
    <col min="5649" max="5649" width="11.58203125" style="37" bestFit="1" customWidth="1"/>
    <col min="5650" max="5896" width="9" style="37"/>
    <col min="5897" max="5897" width="12.5" style="37" customWidth="1"/>
    <col min="5898" max="5900" width="10.58203125" style="37" customWidth="1"/>
    <col min="5901" max="5903" width="12.58203125" style="37" customWidth="1"/>
    <col min="5904" max="5904" width="9" style="37"/>
    <col min="5905" max="5905" width="11.58203125" style="37" bestFit="1" customWidth="1"/>
    <col min="5906" max="6152" width="9" style="37"/>
    <col min="6153" max="6153" width="12.5" style="37" customWidth="1"/>
    <col min="6154" max="6156" width="10.58203125" style="37" customWidth="1"/>
    <col min="6157" max="6159" width="12.58203125" style="37" customWidth="1"/>
    <col min="6160" max="6160" width="9" style="37"/>
    <col min="6161" max="6161" width="11.58203125" style="37" bestFit="1" customWidth="1"/>
    <col min="6162" max="6408" width="9" style="37"/>
    <col min="6409" max="6409" width="12.5" style="37" customWidth="1"/>
    <col min="6410" max="6412" width="10.58203125" style="37" customWidth="1"/>
    <col min="6413" max="6415" width="12.58203125" style="37" customWidth="1"/>
    <col min="6416" max="6416" width="9" style="37"/>
    <col min="6417" max="6417" width="11.58203125" style="37" bestFit="1" customWidth="1"/>
    <col min="6418" max="6664" width="9" style="37"/>
    <col min="6665" max="6665" width="12.5" style="37" customWidth="1"/>
    <col min="6666" max="6668" width="10.58203125" style="37" customWidth="1"/>
    <col min="6669" max="6671" width="12.58203125" style="37" customWidth="1"/>
    <col min="6672" max="6672" width="9" style="37"/>
    <col min="6673" max="6673" width="11.58203125" style="37" bestFit="1" customWidth="1"/>
    <col min="6674" max="6920" width="9" style="37"/>
    <col min="6921" max="6921" width="12.5" style="37" customWidth="1"/>
    <col min="6922" max="6924" width="10.58203125" style="37" customWidth="1"/>
    <col min="6925" max="6927" width="12.58203125" style="37" customWidth="1"/>
    <col min="6928" max="6928" width="9" style="37"/>
    <col min="6929" max="6929" width="11.58203125" style="37" bestFit="1" customWidth="1"/>
    <col min="6930" max="7176" width="9" style="37"/>
    <col min="7177" max="7177" width="12.5" style="37" customWidth="1"/>
    <col min="7178" max="7180" width="10.58203125" style="37" customWidth="1"/>
    <col min="7181" max="7183" width="12.58203125" style="37" customWidth="1"/>
    <col min="7184" max="7184" width="9" style="37"/>
    <col min="7185" max="7185" width="11.58203125" style="37" bestFit="1" customWidth="1"/>
    <col min="7186" max="7432" width="9" style="37"/>
    <col min="7433" max="7433" width="12.5" style="37" customWidth="1"/>
    <col min="7434" max="7436" width="10.58203125" style="37" customWidth="1"/>
    <col min="7437" max="7439" width="12.58203125" style="37" customWidth="1"/>
    <col min="7440" max="7440" width="9" style="37"/>
    <col min="7441" max="7441" width="11.58203125" style="37" bestFit="1" customWidth="1"/>
    <col min="7442" max="7688" width="9" style="37"/>
    <col min="7689" max="7689" width="12.5" style="37" customWidth="1"/>
    <col min="7690" max="7692" width="10.58203125" style="37" customWidth="1"/>
    <col min="7693" max="7695" width="12.58203125" style="37" customWidth="1"/>
    <col min="7696" max="7696" width="9" style="37"/>
    <col min="7697" max="7697" width="11.58203125" style="37" bestFit="1" customWidth="1"/>
    <col min="7698" max="7944" width="9" style="37"/>
    <col min="7945" max="7945" width="12.5" style="37" customWidth="1"/>
    <col min="7946" max="7948" width="10.58203125" style="37" customWidth="1"/>
    <col min="7949" max="7951" width="12.58203125" style="37" customWidth="1"/>
    <col min="7952" max="7952" width="9" style="37"/>
    <col min="7953" max="7953" width="11.58203125" style="37" bestFit="1" customWidth="1"/>
    <col min="7954" max="8200" width="9" style="37"/>
    <col min="8201" max="8201" width="12.5" style="37" customWidth="1"/>
    <col min="8202" max="8204" width="10.58203125" style="37" customWidth="1"/>
    <col min="8205" max="8207" width="12.58203125" style="37" customWidth="1"/>
    <col min="8208" max="8208" width="9" style="37"/>
    <col min="8209" max="8209" width="11.58203125" style="37" bestFit="1" customWidth="1"/>
    <col min="8210" max="8456" width="9" style="37"/>
    <col min="8457" max="8457" width="12.5" style="37" customWidth="1"/>
    <col min="8458" max="8460" width="10.58203125" style="37" customWidth="1"/>
    <col min="8461" max="8463" width="12.58203125" style="37" customWidth="1"/>
    <col min="8464" max="8464" width="9" style="37"/>
    <col min="8465" max="8465" width="11.58203125" style="37" bestFit="1" customWidth="1"/>
    <col min="8466" max="8712" width="9" style="37"/>
    <col min="8713" max="8713" width="12.5" style="37" customWidth="1"/>
    <col min="8714" max="8716" width="10.58203125" style="37" customWidth="1"/>
    <col min="8717" max="8719" width="12.58203125" style="37" customWidth="1"/>
    <col min="8720" max="8720" width="9" style="37"/>
    <col min="8721" max="8721" width="11.58203125" style="37" bestFit="1" customWidth="1"/>
    <col min="8722" max="8968" width="9" style="37"/>
    <col min="8969" max="8969" width="12.5" style="37" customWidth="1"/>
    <col min="8970" max="8972" width="10.58203125" style="37" customWidth="1"/>
    <col min="8973" max="8975" width="12.58203125" style="37" customWidth="1"/>
    <col min="8976" max="8976" width="9" style="37"/>
    <col min="8977" max="8977" width="11.58203125" style="37" bestFit="1" customWidth="1"/>
    <col min="8978" max="9224" width="9" style="37"/>
    <col min="9225" max="9225" width="12.5" style="37" customWidth="1"/>
    <col min="9226" max="9228" width="10.58203125" style="37" customWidth="1"/>
    <col min="9229" max="9231" width="12.58203125" style="37" customWidth="1"/>
    <col min="9232" max="9232" width="9" style="37"/>
    <col min="9233" max="9233" width="11.58203125" style="37" bestFit="1" customWidth="1"/>
    <col min="9234" max="9480" width="9" style="37"/>
    <col min="9481" max="9481" width="12.5" style="37" customWidth="1"/>
    <col min="9482" max="9484" width="10.58203125" style="37" customWidth="1"/>
    <col min="9485" max="9487" width="12.58203125" style="37" customWidth="1"/>
    <col min="9488" max="9488" width="9" style="37"/>
    <col min="9489" max="9489" width="11.58203125" style="37" bestFit="1" customWidth="1"/>
    <col min="9490" max="9736" width="9" style="37"/>
    <col min="9737" max="9737" width="12.5" style="37" customWidth="1"/>
    <col min="9738" max="9740" width="10.58203125" style="37" customWidth="1"/>
    <col min="9741" max="9743" width="12.58203125" style="37" customWidth="1"/>
    <col min="9744" max="9744" width="9" style="37"/>
    <col min="9745" max="9745" width="11.58203125" style="37" bestFit="1" customWidth="1"/>
    <col min="9746" max="9992" width="9" style="37"/>
    <col min="9993" max="9993" width="12.5" style="37" customWidth="1"/>
    <col min="9994" max="9996" width="10.58203125" style="37" customWidth="1"/>
    <col min="9997" max="9999" width="12.58203125" style="37" customWidth="1"/>
    <col min="10000" max="10000" width="9" style="37"/>
    <col min="10001" max="10001" width="11.58203125" style="37" bestFit="1" customWidth="1"/>
    <col min="10002" max="10248" width="9" style="37"/>
    <col min="10249" max="10249" width="12.5" style="37" customWidth="1"/>
    <col min="10250" max="10252" width="10.58203125" style="37" customWidth="1"/>
    <col min="10253" max="10255" width="12.58203125" style="37" customWidth="1"/>
    <col min="10256" max="10256" width="9" style="37"/>
    <col min="10257" max="10257" width="11.58203125" style="37" bestFit="1" customWidth="1"/>
    <col min="10258" max="10504" width="9" style="37"/>
    <col min="10505" max="10505" width="12.5" style="37" customWidth="1"/>
    <col min="10506" max="10508" width="10.58203125" style="37" customWidth="1"/>
    <col min="10509" max="10511" width="12.58203125" style="37" customWidth="1"/>
    <col min="10512" max="10512" width="9" style="37"/>
    <col min="10513" max="10513" width="11.58203125" style="37" bestFit="1" customWidth="1"/>
    <col min="10514" max="10760" width="9" style="37"/>
    <col min="10761" max="10761" width="12.5" style="37" customWidth="1"/>
    <col min="10762" max="10764" width="10.58203125" style="37" customWidth="1"/>
    <col min="10765" max="10767" width="12.58203125" style="37" customWidth="1"/>
    <col min="10768" max="10768" width="9" style="37"/>
    <col min="10769" max="10769" width="11.58203125" style="37" bestFit="1" customWidth="1"/>
    <col min="10770" max="11016" width="9" style="37"/>
    <col min="11017" max="11017" width="12.5" style="37" customWidth="1"/>
    <col min="11018" max="11020" width="10.58203125" style="37" customWidth="1"/>
    <col min="11021" max="11023" width="12.58203125" style="37" customWidth="1"/>
    <col min="11024" max="11024" width="9" style="37"/>
    <col min="11025" max="11025" width="11.58203125" style="37" bestFit="1" customWidth="1"/>
    <col min="11026" max="11272" width="9" style="37"/>
    <col min="11273" max="11273" width="12.5" style="37" customWidth="1"/>
    <col min="11274" max="11276" width="10.58203125" style="37" customWidth="1"/>
    <col min="11277" max="11279" width="12.58203125" style="37" customWidth="1"/>
    <col min="11280" max="11280" width="9" style="37"/>
    <col min="11281" max="11281" width="11.58203125" style="37" bestFit="1" customWidth="1"/>
    <col min="11282" max="11528" width="9" style="37"/>
    <col min="11529" max="11529" width="12.5" style="37" customWidth="1"/>
    <col min="11530" max="11532" width="10.58203125" style="37" customWidth="1"/>
    <col min="11533" max="11535" width="12.58203125" style="37" customWidth="1"/>
    <col min="11536" max="11536" width="9" style="37"/>
    <col min="11537" max="11537" width="11.58203125" style="37" bestFit="1" customWidth="1"/>
    <col min="11538" max="11784" width="9" style="37"/>
    <col min="11785" max="11785" width="12.5" style="37" customWidth="1"/>
    <col min="11786" max="11788" width="10.58203125" style="37" customWidth="1"/>
    <col min="11789" max="11791" width="12.58203125" style="37" customWidth="1"/>
    <col min="11792" max="11792" width="9" style="37"/>
    <col min="11793" max="11793" width="11.58203125" style="37" bestFit="1" customWidth="1"/>
    <col min="11794" max="12040" width="9" style="37"/>
    <col min="12041" max="12041" width="12.5" style="37" customWidth="1"/>
    <col min="12042" max="12044" width="10.58203125" style="37" customWidth="1"/>
    <col min="12045" max="12047" width="12.58203125" style="37" customWidth="1"/>
    <col min="12048" max="12048" width="9" style="37"/>
    <col min="12049" max="12049" width="11.58203125" style="37" bestFit="1" customWidth="1"/>
    <col min="12050" max="12296" width="9" style="37"/>
    <col min="12297" max="12297" width="12.5" style="37" customWidth="1"/>
    <col min="12298" max="12300" width="10.58203125" style="37" customWidth="1"/>
    <col min="12301" max="12303" width="12.58203125" style="37" customWidth="1"/>
    <col min="12304" max="12304" width="9" style="37"/>
    <col min="12305" max="12305" width="11.58203125" style="37" bestFit="1" customWidth="1"/>
    <col min="12306" max="12552" width="9" style="37"/>
    <col min="12553" max="12553" width="12.5" style="37" customWidth="1"/>
    <col min="12554" max="12556" width="10.58203125" style="37" customWidth="1"/>
    <col min="12557" max="12559" width="12.58203125" style="37" customWidth="1"/>
    <col min="12560" max="12560" width="9" style="37"/>
    <col min="12561" max="12561" width="11.58203125" style="37" bestFit="1" customWidth="1"/>
    <col min="12562" max="12808" width="9" style="37"/>
    <col min="12809" max="12809" width="12.5" style="37" customWidth="1"/>
    <col min="12810" max="12812" width="10.58203125" style="37" customWidth="1"/>
    <col min="12813" max="12815" width="12.58203125" style="37" customWidth="1"/>
    <col min="12816" max="12816" width="9" style="37"/>
    <col min="12817" max="12817" width="11.58203125" style="37" bestFit="1" customWidth="1"/>
    <col min="12818" max="13064" width="9" style="37"/>
    <col min="13065" max="13065" width="12.5" style="37" customWidth="1"/>
    <col min="13066" max="13068" width="10.58203125" style="37" customWidth="1"/>
    <col min="13069" max="13071" width="12.58203125" style="37" customWidth="1"/>
    <col min="13072" max="13072" width="9" style="37"/>
    <col min="13073" max="13073" width="11.58203125" style="37" bestFit="1" customWidth="1"/>
    <col min="13074" max="13320" width="9" style="37"/>
    <col min="13321" max="13321" width="12.5" style="37" customWidth="1"/>
    <col min="13322" max="13324" width="10.58203125" style="37" customWidth="1"/>
    <col min="13325" max="13327" width="12.58203125" style="37" customWidth="1"/>
    <col min="13328" max="13328" width="9" style="37"/>
    <col min="13329" max="13329" width="11.58203125" style="37" bestFit="1" customWidth="1"/>
    <col min="13330" max="13576" width="9" style="37"/>
    <col min="13577" max="13577" width="12.5" style="37" customWidth="1"/>
    <col min="13578" max="13580" width="10.58203125" style="37" customWidth="1"/>
    <col min="13581" max="13583" width="12.58203125" style="37" customWidth="1"/>
    <col min="13584" max="13584" width="9" style="37"/>
    <col min="13585" max="13585" width="11.58203125" style="37" bestFit="1" customWidth="1"/>
    <col min="13586" max="13832" width="9" style="37"/>
    <col min="13833" max="13833" width="12.5" style="37" customWidth="1"/>
    <col min="13834" max="13836" width="10.58203125" style="37" customWidth="1"/>
    <col min="13837" max="13839" width="12.58203125" style="37" customWidth="1"/>
    <col min="13840" max="13840" width="9" style="37"/>
    <col min="13841" max="13841" width="11.58203125" style="37" bestFit="1" customWidth="1"/>
    <col min="13842" max="14088" width="9" style="37"/>
    <col min="14089" max="14089" width="12.5" style="37" customWidth="1"/>
    <col min="14090" max="14092" width="10.58203125" style="37" customWidth="1"/>
    <col min="14093" max="14095" width="12.58203125" style="37" customWidth="1"/>
    <col min="14096" max="14096" width="9" style="37"/>
    <col min="14097" max="14097" width="11.58203125" style="37" bestFit="1" customWidth="1"/>
    <col min="14098" max="14344" width="9" style="37"/>
    <col min="14345" max="14345" width="12.5" style="37" customWidth="1"/>
    <col min="14346" max="14348" width="10.58203125" style="37" customWidth="1"/>
    <col min="14349" max="14351" width="12.58203125" style="37" customWidth="1"/>
    <col min="14352" max="14352" width="9" style="37"/>
    <col min="14353" max="14353" width="11.58203125" style="37" bestFit="1" customWidth="1"/>
    <col min="14354" max="14600" width="9" style="37"/>
    <col min="14601" max="14601" width="12.5" style="37" customWidth="1"/>
    <col min="14602" max="14604" width="10.58203125" style="37" customWidth="1"/>
    <col min="14605" max="14607" width="12.58203125" style="37" customWidth="1"/>
    <col min="14608" max="14608" width="9" style="37"/>
    <col min="14609" max="14609" width="11.58203125" style="37" bestFit="1" customWidth="1"/>
    <col min="14610" max="14856" width="9" style="37"/>
    <col min="14857" max="14857" width="12.5" style="37" customWidth="1"/>
    <col min="14858" max="14860" width="10.58203125" style="37" customWidth="1"/>
    <col min="14861" max="14863" width="12.58203125" style="37" customWidth="1"/>
    <col min="14864" max="14864" width="9" style="37"/>
    <col min="14865" max="14865" width="11.58203125" style="37" bestFit="1" customWidth="1"/>
    <col min="14866" max="15112" width="9" style="37"/>
    <col min="15113" max="15113" width="12.5" style="37" customWidth="1"/>
    <col min="15114" max="15116" width="10.58203125" style="37" customWidth="1"/>
    <col min="15117" max="15119" width="12.58203125" style="37" customWidth="1"/>
    <col min="15120" max="15120" width="9" style="37"/>
    <col min="15121" max="15121" width="11.58203125" style="37" bestFit="1" customWidth="1"/>
    <col min="15122" max="15368" width="9" style="37"/>
    <col min="15369" max="15369" width="12.5" style="37" customWidth="1"/>
    <col min="15370" max="15372" width="10.58203125" style="37" customWidth="1"/>
    <col min="15373" max="15375" width="12.58203125" style="37" customWidth="1"/>
    <col min="15376" max="15376" width="9" style="37"/>
    <col min="15377" max="15377" width="11.58203125" style="37" bestFit="1" customWidth="1"/>
    <col min="15378" max="15624" width="9" style="37"/>
    <col min="15625" max="15625" width="12.5" style="37" customWidth="1"/>
    <col min="15626" max="15628" width="10.58203125" style="37" customWidth="1"/>
    <col min="15629" max="15631" width="12.58203125" style="37" customWidth="1"/>
    <col min="15632" max="15632" width="9" style="37"/>
    <col min="15633" max="15633" width="11.58203125" style="37" bestFit="1" customWidth="1"/>
    <col min="15634" max="15880" width="9" style="37"/>
    <col min="15881" max="15881" width="12.5" style="37" customWidth="1"/>
    <col min="15882" max="15884" width="10.58203125" style="37" customWidth="1"/>
    <col min="15885" max="15887" width="12.58203125" style="37" customWidth="1"/>
    <col min="15888" max="15888" width="9" style="37"/>
    <col min="15889" max="15889" width="11.58203125" style="37" bestFit="1" customWidth="1"/>
    <col min="15890" max="16136" width="9" style="37"/>
    <col min="16137" max="16137" width="12.5" style="37" customWidth="1"/>
    <col min="16138" max="16140" width="10.58203125" style="37" customWidth="1"/>
    <col min="16141" max="16143" width="12.58203125" style="37" customWidth="1"/>
    <col min="16144" max="16144" width="9" style="37"/>
    <col min="16145" max="16145" width="11.58203125" style="37" bestFit="1" customWidth="1"/>
    <col min="16146" max="16384" width="9" style="37"/>
  </cols>
  <sheetData>
    <row r="1" spans="2:33" ht="21.65" customHeight="1" x14ac:dyDescent="0.55000000000000004">
      <c r="B1" s="37" t="str">
        <f xml:space="preserve">
IF(表紙!V8="交付申請","第２－３号様式",
IF(表紙!V8="変更申請","第２－３号様式",
IF(表紙!V8="実績報告","第４－３号様式")))</f>
        <v>第４－３号様式</v>
      </c>
      <c r="G1" s="187"/>
      <c r="H1" s="188" t="str">
        <f>IF(はじめに入力してください!L19="","",はじめに入力してください!L19)</f>
        <v/>
      </c>
    </row>
    <row r="2" spans="2:33" ht="35.15" customHeight="1" x14ac:dyDescent="0.55000000000000004">
      <c r="B2" s="640" t="str">
        <f xml:space="preserve">
IF(表紙!V8="交付申請","令和４年度歳入歳出予算書抄本",
IF(表紙!V8="変更申請","令和４年度歳入歳出予算書抄本",
IF(表紙!V8="実績報告","令和４年度歳入歳出決算書（見込書）抄本")))</f>
        <v>令和４年度歳入歳出決算書（見込書）抄本</v>
      </c>
      <c r="C2" s="640"/>
      <c r="D2" s="640"/>
      <c r="E2" s="640"/>
      <c r="F2" s="640"/>
      <c r="G2" s="640"/>
      <c r="H2" s="640"/>
    </row>
    <row r="3" spans="2:33" ht="15" customHeight="1" x14ac:dyDescent="0.55000000000000004">
      <c r="B3" s="37" t="s">
        <v>18</v>
      </c>
    </row>
    <row r="4" spans="2:33" ht="15" customHeight="1" x14ac:dyDescent="0.55000000000000004">
      <c r="B4" s="636" t="s">
        <v>19</v>
      </c>
      <c r="C4" s="636" t="s">
        <v>20</v>
      </c>
      <c r="D4" s="636" t="s">
        <v>21</v>
      </c>
      <c r="E4" s="636" t="s">
        <v>22</v>
      </c>
      <c r="F4" s="636" t="s">
        <v>23</v>
      </c>
      <c r="G4" s="636"/>
      <c r="H4" s="636" t="s">
        <v>24</v>
      </c>
      <c r="X4" s="641" t="s">
        <v>141</v>
      </c>
      <c r="Y4" s="636" t="s">
        <v>19</v>
      </c>
      <c r="Z4" s="636" t="s">
        <v>20</v>
      </c>
      <c r="AA4" s="636" t="s">
        <v>21</v>
      </c>
      <c r="AB4" s="636" t="s">
        <v>22</v>
      </c>
      <c r="AC4" s="636" t="s">
        <v>23</v>
      </c>
      <c r="AD4" s="636"/>
    </row>
    <row r="5" spans="2:33" ht="15" customHeight="1" x14ac:dyDescent="0.55000000000000004">
      <c r="B5" s="636"/>
      <c r="C5" s="636"/>
      <c r="D5" s="636"/>
      <c r="E5" s="636"/>
      <c r="F5" s="73" t="s">
        <v>25</v>
      </c>
      <c r="G5" s="73" t="s">
        <v>26</v>
      </c>
      <c r="H5" s="636"/>
      <c r="X5" s="386"/>
      <c r="Y5" s="632"/>
      <c r="Z5" s="632"/>
      <c r="AA5" s="632"/>
      <c r="AB5" s="632"/>
      <c r="AC5" s="73" t="s">
        <v>25</v>
      </c>
      <c r="AD5" s="73" t="s">
        <v>26</v>
      </c>
    </row>
    <row r="6" spans="2:33" ht="15" customHeight="1" x14ac:dyDescent="0.55000000000000004">
      <c r="B6" s="633"/>
      <c r="C6" s="633"/>
      <c r="D6" s="633"/>
      <c r="E6" s="38" t="s">
        <v>27</v>
      </c>
      <c r="F6" s="633"/>
      <c r="G6" s="38" t="s">
        <v>27</v>
      </c>
      <c r="H6" s="633"/>
      <c r="X6" s="636" t="s">
        <v>142</v>
      </c>
      <c r="Y6" s="636" t="str">
        <f>IF(COUNTA(B6)=1,"○","×")</f>
        <v>×</v>
      </c>
      <c r="Z6" s="636" t="str">
        <f>IF(COUNTA(C6)=1,"○","×")</f>
        <v>×</v>
      </c>
      <c r="AA6" s="636" t="str">
        <f>IF(COUNTA(D6)=1,"○","×")</f>
        <v>×</v>
      </c>
      <c r="AB6" s="636" t="str">
        <f>IF(COUNTA(E7)=1,"○","×")</f>
        <v>×</v>
      </c>
      <c r="AC6" s="636" t="str">
        <f>IF(COUNTA(F6)=1,"○","×")</f>
        <v>×</v>
      </c>
      <c r="AD6" s="636" t="str">
        <f>IF(COUNTA(G7)=1,"○","×")</f>
        <v>×</v>
      </c>
      <c r="AF6" s="641" t="str">
        <f>IF(COUNTIF(Y6:AD9,"○")=12,"○","×")</f>
        <v>×</v>
      </c>
    </row>
    <row r="7" spans="2:33" ht="15" customHeight="1" x14ac:dyDescent="0.55000000000000004">
      <c r="B7" s="634"/>
      <c r="C7" s="634"/>
      <c r="D7" s="634"/>
      <c r="E7" s="642"/>
      <c r="F7" s="634"/>
      <c r="G7" s="642"/>
      <c r="H7" s="634"/>
      <c r="X7" s="395"/>
      <c r="Y7" s="395"/>
      <c r="Z7" s="395"/>
      <c r="AA7" s="395"/>
      <c r="AB7" s="395"/>
      <c r="AC7" s="395"/>
      <c r="AD7" s="395"/>
      <c r="AF7" s="608"/>
    </row>
    <row r="8" spans="2:33" ht="15" customHeight="1" x14ac:dyDescent="0.55000000000000004">
      <c r="B8" s="634"/>
      <c r="C8" s="634"/>
      <c r="D8" s="634"/>
      <c r="E8" s="643"/>
      <c r="F8" s="634"/>
      <c r="G8" s="643"/>
      <c r="H8" s="634"/>
      <c r="X8" s="636" t="s">
        <v>143</v>
      </c>
      <c r="Y8" s="636" t="str">
        <f>IF(COUNTA(B21)=1,"○","×")</f>
        <v>×</v>
      </c>
      <c r="Z8" s="636" t="str">
        <f>IF(COUNTA(C21)=1,"○","×")</f>
        <v>×</v>
      </c>
      <c r="AA8" s="636" t="str">
        <f>IF(COUNTA(D21)=1,"○","×")</f>
        <v>×</v>
      </c>
      <c r="AB8" s="636" t="str">
        <f>IF(COUNTA(E22)=1,"○","×")</f>
        <v>×</v>
      </c>
      <c r="AC8" s="636" t="str">
        <f>IF(COUNTA(F21)=1,"○","×")</f>
        <v>×</v>
      </c>
      <c r="AD8" s="636" t="str">
        <f>IF(COUNTA(G22)=1,"○","×")</f>
        <v>×</v>
      </c>
      <c r="AF8" s="608"/>
    </row>
    <row r="9" spans="2:33" ht="15" customHeight="1" x14ac:dyDescent="0.55000000000000004">
      <c r="B9" s="634"/>
      <c r="C9" s="634"/>
      <c r="D9" s="634"/>
      <c r="E9" s="643"/>
      <c r="F9" s="634"/>
      <c r="G9" s="643"/>
      <c r="H9" s="634"/>
      <c r="X9" s="395"/>
      <c r="Y9" s="395"/>
      <c r="Z9" s="395"/>
      <c r="AA9" s="395"/>
      <c r="AB9" s="395"/>
      <c r="AC9" s="395"/>
      <c r="AD9" s="395"/>
      <c r="AF9" s="386"/>
    </row>
    <row r="10" spans="2:33" ht="15" customHeight="1" x14ac:dyDescent="0.55000000000000004">
      <c r="B10" s="634"/>
      <c r="C10" s="634"/>
      <c r="D10" s="634"/>
      <c r="E10" s="643"/>
      <c r="F10" s="634"/>
      <c r="G10" s="643"/>
      <c r="H10" s="634"/>
    </row>
    <row r="11" spans="2:33" ht="15" customHeight="1" x14ac:dyDescent="0.55000000000000004">
      <c r="B11" s="634"/>
      <c r="C11" s="634"/>
      <c r="D11" s="634"/>
      <c r="E11" s="643"/>
      <c r="F11" s="634"/>
      <c r="G11" s="643"/>
      <c r="H11" s="634"/>
      <c r="X11" s="641" t="s">
        <v>72</v>
      </c>
      <c r="Y11" s="641" t="str">
        <f xml:space="preserve">
IF(AND(はじめに入力してください!O3="○"&amp;CHAR(10)&amp;"（公立）",AF6="○"),"○",
IF(AND(はじめに入力してください!O3="○"&amp;CHAR(10)&amp;"（公立）",AF6="×"),"×",
IF(AND(はじめに入力してください!O3&lt;&gt;"○"&amp;CHAR(10)&amp;"（公立）",AF6="○"),"○",
IF(AND(はじめに入力してください!O3&lt;&gt;"○"&amp;CHAR(10)&amp;"（公立）",AF6="×"),"○",))))</f>
        <v>○</v>
      </c>
      <c r="Z11" s="645" t="str">
        <f xml:space="preserve">
IF(AND(はじめに入力してください!O3="○"&amp;CHAR(10)&amp;"（公立）",AF6="○"),"適切に入力がされました。",
IF(AND(はじめに入力してください!O3="○"&amp;CHAR(10)&amp;"（公立）",AF6="×"),"【要修正】公立機関なので様式1-3の作成が必要です。",
IF(AND(はじめに入力してください!O3&lt;&gt;"○"&amp;CHAR(10)&amp;"（公立）",AF6="○"),"公立機関ではない場合、様式1-3は作成不要です。（入力されていても特段問題はありません。）",
IF(AND(はじめに入力してください!O3&lt;&gt;"○"&amp;CHAR(10)&amp;"（公立）",AF6="×"),"公立機関ではない場合、様式1-3は作成不要です。（入力されていても特段問題はありません。）",))))</f>
        <v>公立機関ではない場合、様式1-3は作成不要です。（入力されていても特段問題はありません。）</v>
      </c>
      <c r="AA11" s="646"/>
      <c r="AB11" s="646"/>
      <c r="AC11" s="646"/>
      <c r="AD11" s="646"/>
      <c r="AF11" s="648" t="str">
        <f xml:space="preserve">
IF(AND(はじめに入力してください!O3="○"&amp;CHAR(10)&amp;"（公立）",AF6="○"),"",
IF(AND(はじめに入力してください!O3="○"&amp;CHAR(10)&amp;"（公立）",AF6="×"),"公立機関なので作成が必要です。",
IF(AND(はじめに入力してください!O3&lt;&gt;"○"&amp;CHAR(10)&amp;"（公立）",AF6="○"),"",
IF(AND(はじめに入力してください!O3&lt;&gt;"○"&amp;CHAR(10)&amp;"（公立）",AF6="×"),"",))))</f>
        <v/>
      </c>
      <c r="AG11" s="651" t="s">
        <v>191</v>
      </c>
    </row>
    <row r="12" spans="2:33" ht="15" customHeight="1" x14ac:dyDescent="0.55000000000000004">
      <c r="B12" s="634"/>
      <c r="C12" s="634"/>
      <c r="D12" s="634"/>
      <c r="E12" s="643"/>
      <c r="F12" s="634"/>
      <c r="G12" s="643"/>
      <c r="H12" s="634"/>
      <c r="X12" s="608"/>
      <c r="Y12" s="608"/>
      <c r="Z12" s="647"/>
      <c r="AA12" s="647"/>
      <c r="AB12" s="647"/>
      <c r="AC12" s="647"/>
      <c r="AD12" s="647"/>
      <c r="AF12" s="649"/>
      <c r="AG12" s="599"/>
    </row>
    <row r="13" spans="2:33" ht="15" customHeight="1" x14ac:dyDescent="0.55000000000000004">
      <c r="B13" s="634"/>
      <c r="C13" s="634"/>
      <c r="D13" s="634"/>
      <c r="E13" s="643"/>
      <c r="F13" s="634"/>
      <c r="G13" s="643"/>
      <c r="H13" s="634"/>
      <c r="X13" s="386"/>
      <c r="Y13" s="386"/>
      <c r="Z13" s="388"/>
      <c r="AA13" s="388"/>
      <c r="AB13" s="388"/>
      <c r="AC13" s="388"/>
      <c r="AD13" s="388"/>
      <c r="AF13" s="650"/>
      <c r="AG13" s="599"/>
    </row>
    <row r="14" spans="2:33" ht="15" customHeight="1" x14ac:dyDescent="0.55000000000000004">
      <c r="B14" s="634"/>
      <c r="C14" s="634"/>
      <c r="D14" s="634"/>
      <c r="E14" s="643"/>
      <c r="F14" s="634"/>
      <c r="G14" s="643"/>
      <c r="H14" s="634"/>
    </row>
    <row r="15" spans="2:33" ht="15" customHeight="1" x14ac:dyDescent="0.55000000000000004">
      <c r="B15" s="634"/>
      <c r="C15" s="634"/>
      <c r="D15" s="634"/>
      <c r="E15" s="643"/>
      <c r="F15" s="634"/>
      <c r="G15" s="643"/>
      <c r="H15" s="634"/>
    </row>
    <row r="16" spans="2:33" ht="15" customHeight="1" x14ac:dyDescent="0.55000000000000004">
      <c r="B16" s="634"/>
      <c r="C16" s="634"/>
      <c r="D16" s="634"/>
      <c r="E16" s="643"/>
      <c r="F16" s="634"/>
      <c r="G16" s="643"/>
      <c r="H16" s="634"/>
    </row>
    <row r="17" spans="2:24" ht="15" customHeight="1" x14ac:dyDescent="0.55000000000000004">
      <c r="B17" s="635"/>
      <c r="C17" s="635"/>
      <c r="D17" s="635"/>
      <c r="E17" s="644"/>
      <c r="F17" s="635"/>
      <c r="G17" s="644"/>
      <c r="H17" s="635"/>
    </row>
    <row r="18" spans="2:24" ht="15" customHeight="1" x14ac:dyDescent="0.55000000000000004">
      <c r="B18" s="37" t="s">
        <v>28</v>
      </c>
    </row>
    <row r="19" spans="2:24" ht="15" customHeight="1" x14ac:dyDescent="0.55000000000000004">
      <c r="B19" s="636" t="s">
        <v>19</v>
      </c>
      <c r="C19" s="636" t="s">
        <v>20</v>
      </c>
      <c r="D19" s="636" t="s">
        <v>21</v>
      </c>
      <c r="E19" s="638" t="s">
        <v>22</v>
      </c>
      <c r="F19" s="636" t="s">
        <v>23</v>
      </c>
      <c r="G19" s="639"/>
      <c r="H19" s="636" t="s">
        <v>24</v>
      </c>
      <c r="X19" s="39"/>
    </row>
    <row r="20" spans="2:24" ht="15" customHeight="1" x14ac:dyDescent="0.55000000000000004">
      <c r="B20" s="636"/>
      <c r="C20" s="636"/>
      <c r="D20" s="636"/>
      <c r="E20" s="638"/>
      <c r="F20" s="73" t="s">
        <v>25</v>
      </c>
      <c r="G20" s="40" t="s">
        <v>26</v>
      </c>
      <c r="H20" s="636"/>
      <c r="X20" s="39"/>
    </row>
    <row r="21" spans="2:24" ht="15" customHeight="1" x14ac:dyDescent="0.55000000000000004">
      <c r="B21" s="633"/>
      <c r="C21" s="633"/>
      <c r="D21" s="633"/>
      <c r="E21" s="216" t="s">
        <v>27</v>
      </c>
      <c r="F21" s="633"/>
      <c r="G21" s="216" t="s">
        <v>27</v>
      </c>
      <c r="H21" s="633"/>
      <c r="X21" s="39"/>
    </row>
    <row r="22" spans="2:24" ht="15" customHeight="1" x14ac:dyDescent="0.55000000000000004">
      <c r="B22" s="634"/>
      <c r="C22" s="634"/>
      <c r="D22" s="634"/>
      <c r="E22" s="642"/>
      <c r="F22" s="634"/>
      <c r="G22" s="642"/>
      <c r="H22" s="634"/>
      <c r="X22" s="39"/>
    </row>
    <row r="23" spans="2:24" ht="15" customHeight="1" x14ac:dyDescent="0.55000000000000004">
      <c r="B23" s="634"/>
      <c r="C23" s="634"/>
      <c r="D23" s="634"/>
      <c r="E23" s="643"/>
      <c r="F23" s="634"/>
      <c r="G23" s="643"/>
      <c r="H23" s="634"/>
      <c r="X23" s="41"/>
    </row>
    <row r="24" spans="2:24" ht="15" customHeight="1" x14ac:dyDescent="0.55000000000000004">
      <c r="B24" s="634"/>
      <c r="C24" s="634"/>
      <c r="D24" s="634"/>
      <c r="E24" s="643"/>
      <c r="F24" s="634"/>
      <c r="G24" s="643"/>
      <c r="H24" s="634"/>
      <c r="X24" s="39"/>
    </row>
    <row r="25" spans="2:24" ht="15" customHeight="1" x14ac:dyDescent="0.55000000000000004">
      <c r="B25" s="634"/>
      <c r="C25" s="634"/>
      <c r="D25" s="634"/>
      <c r="E25" s="643"/>
      <c r="F25" s="634"/>
      <c r="G25" s="643"/>
      <c r="H25" s="634"/>
      <c r="X25" s="39"/>
    </row>
    <row r="26" spans="2:24" ht="15" customHeight="1" x14ac:dyDescent="0.55000000000000004">
      <c r="B26" s="634"/>
      <c r="C26" s="634"/>
      <c r="D26" s="634"/>
      <c r="E26" s="643"/>
      <c r="F26" s="634"/>
      <c r="G26" s="643"/>
      <c r="H26" s="634"/>
      <c r="X26" s="39"/>
    </row>
    <row r="27" spans="2:24" ht="15" customHeight="1" x14ac:dyDescent="0.55000000000000004">
      <c r="B27" s="634"/>
      <c r="C27" s="634"/>
      <c r="D27" s="634"/>
      <c r="E27" s="643"/>
      <c r="F27" s="634"/>
      <c r="G27" s="643"/>
      <c r="H27" s="634"/>
      <c r="X27" s="39"/>
    </row>
    <row r="28" spans="2:24" ht="15" customHeight="1" x14ac:dyDescent="0.55000000000000004">
      <c r="B28" s="634"/>
      <c r="C28" s="634"/>
      <c r="D28" s="634"/>
      <c r="E28" s="643"/>
      <c r="F28" s="634"/>
      <c r="G28" s="643"/>
      <c r="H28" s="634"/>
      <c r="X28" s="42"/>
    </row>
    <row r="29" spans="2:24" ht="15" customHeight="1" x14ac:dyDescent="0.55000000000000004">
      <c r="B29" s="634"/>
      <c r="C29" s="634"/>
      <c r="D29" s="634"/>
      <c r="E29" s="643"/>
      <c r="F29" s="634"/>
      <c r="G29" s="643"/>
      <c r="H29" s="634"/>
      <c r="X29" s="39"/>
    </row>
    <row r="30" spans="2:24" ht="15" customHeight="1" x14ac:dyDescent="0.55000000000000004">
      <c r="B30" s="634"/>
      <c r="C30" s="634"/>
      <c r="D30" s="634"/>
      <c r="E30" s="643"/>
      <c r="F30" s="634"/>
      <c r="G30" s="643"/>
      <c r="H30" s="634"/>
      <c r="X30" s="39"/>
    </row>
    <row r="31" spans="2:24" ht="15" customHeight="1" x14ac:dyDescent="0.55000000000000004">
      <c r="B31" s="634"/>
      <c r="C31" s="634"/>
      <c r="D31" s="634"/>
      <c r="E31" s="643"/>
      <c r="F31" s="634"/>
      <c r="G31" s="643"/>
      <c r="H31" s="634"/>
      <c r="X31" s="39"/>
    </row>
    <row r="32" spans="2:24" ht="15" customHeight="1" x14ac:dyDescent="0.55000000000000004">
      <c r="B32" s="635"/>
      <c r="C32" s="635"/>
      <c r="D32" s="635"/>
      <c r="E32" s="644"/>
      <c r="F32" s="635"/>
      <c r="G32" s="644"/>
      <c r="H32" s="635"/>
      <c r="X32" s="39"/>
    </row>
    <row r="33" spans="2:24" ht="15" customHeight="1" x14ac:dyDescent="0.55000000000000004">
      <c r="X33" s="41"/>
    </row>
    <row r="34" spans="2:24" ht="15" customHeight="1" x14ac:dyDescent="0.55000000000000004">
      <c r="B34" s="37" t="s">
        <v>29</v>
      </c>
      <c r="X34" s="39"/>
    </row>
    <row r="35" spans="2:24" ht="15" customHeight="1" x14ac:dyDescent="0.55000000000000004">
      <c r="X35" s="39"/>
    </row>
    <row r="36" spans="2:24" ht="15" customHeight="1" x14ac:dyDescent="0.55000000000000004">
      <c r="C36" s="637" t="str">
        <f>表紙!N5</f>
        <v>令和　年　月　　日</v>
      </c>
      <c r="D36" s="637"/>
      <c r="X36" s="39"/>
    </row>
    <row r="37" spans="2:24" ht="15" customHeight="1" x14ac:dyDescent="0.55000000000000004">
      <c r="X37" s="39"/>
    </row>
    <row r="38" spans="2:24" ht="15" customHeight="1" x14ac:dyDescent="0.55000000000000004">
      <c r="C38" s="37" t="s">
        <v>144</v>
      </c>
      <c r="E38" s="652" t="str">
        <f>表紙!L9</f>
        <v/>
      </c>
      <c r="F38" s="653"/>
      <c r="G38" s="653"/>
      <c r="H38" s="653"/>
      <c r="X38" s="39"/>
    </row>
    <row r="39" spans="2:24" ht="15" customHeight="1" x14ac:dyDescent="0.55000000000000004">
      <c r="X39" s="43"/>
    </row>
    <row r="40" spans="2:24" ht="15" customHeight="1" x14ac:dyDescent="0.55000000000000004">
      <c r="C40" s="37" t="s">
        <v>30</v>
      </c>
      <c r="E40" s="37" t="str">
        <f>表紙!L10</f>
        <v>　</v>
      </c>
    </row>
    <row r="41" spans="2:24" ht="15" customHeight="1" x14ac:dyDescent="0.55000000000000004">
      <c r="X41" s="39"/>
    </row>
    <row r="42" spans="2:24" ht="15" customHeight="1" x14ac:dyDescent="0.55000000000000004">
      <c r="X42" s="39"/>
    </row>
    <row r="43" spans="2:24" ht="15" customHeight="1" x14ac:dyDescent="0.55000000000000004">
      <c r="B43" s="37" t="s">
        <v>34</v>
      </c>
      <c r="X43" s="39"/>
    </row>
    <row r="44" spans="2:24" ht="15" customHeight="1" x14ac:dyDescent="0.55000000000000004"/>
  </sheetData>
  <sheetProtection algorithmName="SHA-512" hashValue="hZcKkKfO2RuB6CdNRJ9GsnvcKezWtSRrnig6tYcyvhjWob/bE2YLDxA9oKBSI4939UC3CzVqEkkJkHyVgC5mlQ==" saltValue="T7/4z0dwOwP7Rfmpk9oiTQ==" spinCount="100000" sheet="1" objects="1" scenarios="1"/>
  <mergeCells count="55">
    <mergeCell ref="AG11:AG13"/>
    <mergeCell ref="E38:H38"/>
    <mergeCell ref="D21:D32"/>
    <mergeCell ref="F21:F32"/>
    <mergeCell ref="H21:H32"/>
    <mergeCell ref="E22:E32"/>
    <mergeCell ref="G22:G32"/>
    <mergeCell ref="AF6:AF9"/>
    <mergeCell ref="E7:E17"/>
    <mergeCell ref="G7:G17"/>
    <mergeCell ref="X8:X9"/>
    <mergeCell ref="Y8:Y9"/>
    <mergeCell ref="Z8:Z9"/>
    <mergeCell ref="AA8:AA9"/>
    <mergeCell ref="AB8:AB9"/>
    <mergeCell ref="AC8:AC9"/>
    <mergeCell ref="AD8:AD9"/>
    <mergeCell ref="X11:X13"/>
    <mergeCell ref="Y11:Y13"/>
    <mergeCell ref="Z11:AD13"/>
    <mergeCell ref="AF11:AF13"/>
    <mergeCell ref="AC4:AD4"/>
    <mergeCell ref="B6:B17"/>
    <mergeCell ref="C6:C17"/>
    <mergeCell ref="D6:D17"/>
    <mergeCell ref="F6:F17"/>
    <mergeCell ref="H6:H17"/>
    <mergeCell ref="X6:X7"/>
    <mergeCell ref="Y6:Y7"/>
    <mergeCell ref="Z6:Z7"/>
    <mergeCell ref="AA6:AA7"/>
    <mergeCell ref="AB6:AB7"/>
    <mergeCell ref="AC6:AC7"/>
    <mergeCell ref="AD6:AD7"/>
    <mergeCell ref="X4:X5"/>
    <mergeCell ref="Y4:Y5"/>
    <mergeCell ref="Z4:Z5"/>
    <mergeCell ref="B2:H2"/>
    <mergeCell ref="B4:B5"/>
    <mergeCell ref="C4:C5"/>
    <mergeCell ref="D4:D5"/>
    <mergeCell ref="E4:E5"/>
    <mergeCell ref="F4:G4"/>
    <mergeCell ref="H4:H5"/>
    <mergeCell ref="B21:B32"/>
    <mergeCell ref="C21:C32"/>
    <mergeCell ref="AA4:AA5"/>
    <mergeCell ref="AB4:AB5"/>
    <mergeCell ref="C36:D36"/>
    <mergeCell ref="H19:H20"/>
    <mergeCell ref="B19:B20"/>
    <mergeCell ref="C19:C20"/>
    <mergeCell ref="D19:D20"/>
    <mergeCell ref="E19:E20"/>
    <mergeCell ref="F19:G19"/>
  </mergeCells>
  <phoneticPr fontId="1"/>
  <conditionalFormatting sqref="Y6:AD9">
    <cfRule type="containsText" dxfId="2" priority="3" operator="containsText" text="×">
      <formula>NOT(ISERROR(SEARCH("×",Y6)))</formula>
    </cfRule>
  </conditionalFormatting>
  <conditionalFormatting sqref="Y11:Y13">
    <cfRule type="containsText" dxfId="1" priority="2" operator="containsText" text="×">
      <formula>NOT(ISERROR(SEARCH("×",Y11)))</formula>
    </cfRule>
  </conditionalFormatting>
  <conditionalFormatting sqref="Z11:AD13">
    <cfRule type="containsText" dxfId="0" priority="1" operator="containsText" text="要修正">
      <formula>NOT(ISERROR(SEARCH("要修正",Z11)))</formula>
    </cfRule>
  </conditionalFormatting>
  <printOptions horizontalCentered="1"/>
  <pageMargins left="0.78740157480314965" right="0.78740157480314965" top="0.98425196850393704" bottom="0.98425196850393704" header="0.51181102362204722" footer="0.51181102362204722"/>
  <pageSetup paperSize="9" scale="88"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H356"/>
  <sheetViews>
    <sheetView view="pageBreakPreview" zoomScaleNormal="100" zoomScaleSheetLayoutView="100" workbookViewId="0">
      <pane xSplit="3" ySplit="1" topLeftCell="D329" activePane="bottomRight" state="frozen"/>
      <selection pane="topRight" activeCell="D1" sqref="D1"/>
      <selection pane="bottomLeft" activeCell="A2" sqref="A2"/>
      <selection pane="bottomRight" activeCell="X352" sqref="X352"/>
    </sheetView>
  </sheetViews>
  <sheetFormatPr defaultColWidth="9" defaultRowHeight="10.5" x14ac:dyDescent="0.55000000000000004"/>
  <cols>
    <col min="1" max="1" width="3.58203125" style="3" customWidth="1"/>
    <col min="2" max="2" width="20.58203125" style="2" hidden="1" customWidth="1"/>
    <col min="3" max="3" width="9" style="209"/>
    <col min="4" max="4" width="9" style="209" customWidth="1"/>
    <col min="5" max="12" width="9" style="209"/>
    <col min="13" max="13" width="12.58203125" style="2" hidden="1" customWidth="1"/>
    <col min="14" max="14" width="3.58203125" style="206" hidden="1" customWidth="1"/>
    <col min="15" max="15" width="3.58203125" style="207" hidden="1" customWidth="1"/>
    <col min="16" max="16" width="3.58203125" style="3" hidden="1" customWidth="1"/>
    <col min="17" max="17" width="3.58203125" style="206" hidden="1" customWidth="1"/>
    <col min="18" max="18" width="3.58203125" style="207" hidden="1" customWidth="1"/>
    <col min="19" max="19" width="3.58203125" style="3" hidden="1" customWidth="1"/>
    <col min="20" max="21" width="9" style="2"/>
    <col min="22" max="22" width="3.58203125" style="3" customWidth="1"/>
    <col min="23" max="23" width="0" style="3" hidden="1" customWidth="1"/>
    <col min="24" max="24" width="9" style="160"/>
    <col min="25" max="27" width="5.58203125" style="2" customWidth="1"/>
    <col min="28" max="16384" width="9" style="2"/>
  </cols>
  <sheetData>
    <row r="1" spans="1:27" s="3" customFormat="1" x14ac:dyDescent="0.55000000000000004">
      <c r="A1" s="151" t="s">
        <v>237</v>
      </c>
      <c r="B1" s="151"/>
      <c r="C1" s="208" t="s">
        <v>100</v>
      </c>
      <c r="D1" s="208" t="s">
        <v>238</v>
      </c>
      <c r="E1" s="208" t="s">
        <v>239</v>
      </c>
      <c r="F1" s="208" t="s">
        <v>240</v>
      </c>
      <c r="G1" s="208" t="s">
        <v>241</v>
      </c>
      <c r="H1" s="208" t="s">
        <v>242</v>
      </c>
      <c r="I1" s="208" t="s">
        <v>243</v>
      </c>
      <c r="J1" s="208" t="s">
        <v>244</v>
      </c>
      <c r="K1" s="208" t="s">
        <v>245</v>
      </c>
      <c r="L1" s="208" t="s">
        <v>246</v>
      </c>
      <c r="M1" s="151" t="s">
        <v>247</v>
      </c>
      <c r="N1" s="153" t="s">
        <v>195</v>
      </c>
      <c r="O1" s="155" t="s">
        <v>248</v>
      </c>
      <c r="P1" s="151" t="s">
        <v>249</v>
      </c>
      <c r="Q1" s="153" t="s">
        <v>195</v>
      </c>
      <c r="R1" s="155" t="s">
        <v>248</v>
      </c>
      <c r="S1" s="151" t="s">
        <v>66</v>
      </c>
      <c r="T1" s="151" t="s">
        <v>250</v>
      </c>
      <c r="U1" s="151" t="s">
        <v>105</v>
      </c>
      <c r="V1" s="151" t="s">
        <v>251</v>
      </c>
      <c r="W1" s="151"/>
      <c r="X1" s="159" t="s">
        <v>434</v>
      </c>
      <c r="Y1" s="151" t="s">
        <v>443</v>
      </c>
      <c r="Z1" s="151" t="s">
        <v>444</v>
      </c>
      <c r="AA1" s="151" t="s">
        <v>445</v>
      </c>
    </row>
    <row r="2" spans="1:27" x14ac:dyDescent="0.55000000000000004">
      <c r="A2" s="151">
        <v>1</v>
      </c>
      <c r="B2" s="150"/>
      <c r="C2" s="152">
        <v>1603000</v>
      </c>
      <c r="D2" s="152">
        <v>1603000</v>
      </c>
      <c r="E2" s="152">
        <v>1603410</v>
      </c>
      <c r="F2" s="152">
        <v>0</v>
      </c>
      <c r="G2" s="152">
        <v>1603410</v>
      </c>
      <c r="H2" s="152">
        <v>1603410</v>
      </c>
      <c r="I2" s="152">
        <v>1603410</v>
      </c>
      <c r="J2" s="152">
        <v>1603410</v>
      </c>
      <c r="K2" s="152">
        <v>1603410</v>
      </c>
      <c r="L2" s="152">
        <v>1603000</v>
      </c>
      <c r="M2" s="150" t="s">
        <v>252</v>
      </c>
      <c r="N2" s="154">
        <v>1</v>
      </c>
      <c r="O2" s="156">
        <v>10</v>
      </c>
      <c r="P2" s="151" t="s">
        <v>253</v>
      </c>
      <c r="Q2" s="154">
        <v>0</v>
      </c>
      <c r="R2" s="156">
        <v>0</v>
      </c>
      <c r="S2" s="151" t="s">
        <v>83</v>
      </c>
      <c r="T2" s="150" t="s">
        <v>254</v>
      </c>
      <c r="U2" s="150" t="s">
        <v>255</v>
      </c>
      <c r="V2" s="151" t="s">
        <v>432</v>
      </c>
      <c r="W2" s="151"/>
      <c r="X2" s="159">
        <v>44771</v>
      </c>
      <c r="Y2" s="151">
        <v>2022</v>
      </c>
      <c r="Z2" s="151">
        <v>7</v>
      </c>
      <c r="AA2" s="151">
        <v>29</v>
      </c>
    </row>
    <row r="3" spans="1:27" x14ac:dyDescent="0.55000000000000004">
      <c r="A3" s="151">
        <v>2</v>
      </c>
      <c r="B3" s="150"/>
      <c r="C3" s="152">
        <v>1430000</v>
      </c>
      <c r="D3" s="152">
        <v>1430000</v>
      </c>
      <c r="E3" s="152">
        <v>1430000</v>
      </c>
      <c r="F3" s="152">
        <v>0</v>
      </c>
      <c r="G3" s="152">
        <v>1430000</v>
      </c>
      <c r="H3" s="152">
        <v>1430000</v>
      </c>
      <c r="I3" s="152">
        <v>1430000</v>
      </c>
      <c r="J3" s="152">
        <v>1430000</v>
      </c>
      <c r="K3" s="152">
        <v>1430000</v>
      </c>
      <c r="L3" s="152">
        <v>1430000</v>
      </c>
      <c r="M3" s="150" t="s">
        <v>252</v>
      </c>
      <c r="N3" s="154">
        <v>1</v>
      </c>
      <c r="O3" s="156">
        <v>10</v>
      </c>
      <c r="P3" s="151" t="s">
        <v>253</v>
      </c>
      <c r="Q3" s="154">
        <v>0</v>
      </c>
      <c r="R3" s="156">
        <v>0</v>
      </c>
      <c r="S3" s="151" t="s">
        <v>83</v>
      </c>
      <c r="T3" s="150" t="s">
        <v>256</v>
      </c>
      <c r="U3" s="150" t="s">
        <v>257</v>
      </c>
      <c r="V3" s="151" t="s">
        <v>432</v>
      </c>
      <c r="W3" s="151"/>
      <c r="X3" s="159">
        <v>44771</v>
      </c>
      <c r="Y3" s="151">
        <v>2022</v>
      </c>
      <c r="Z3" s="151">
        <v>7</v>
      </c>
      <c r="AA3" s="151">
        <v>29</v>
      </c>
    </row>
    <row r="4" spans="1:27" x14ac:dyDescent="0.55000000000000004">
      <c r="A4" s="151">
        <v>3</v>
      </c>
      <c r="B4" s="150"/>
      <c r="C4" s="152">
        <v>1457000</v>
      </c>
      <c r="D4" s="152">
        <v>1457000</v>
      </c>
      <c r="E4" s="152">
        <v>1457830</v>
      </c>
      <c r="F4" s="152">
        <v>0</v>
      </c>
      <c r="G4" s="152">
        <v>1457830</v>
      </c>
      <c r="H4" s="152">
        <v>1457830</v>
      </c>
      <c r="I4" s="152">
        <v>1457830</v>
      </c>
      <c r="J4" s="152">
        <v>1457830</v>
      </c>
      <c r="K4" s="152">
        <v>1457830</v>
      </c>
      <c r="L4" s="152">
        <v>1457000</v>
      </c>
      <c r="M4" s="150" t="s">
        <v>252</v>
      </c>
      <c r="N4" s="154">
        <v>1</v>
      </c>
      <c r="O4" s="156">
        <v>20</v>
      </c>
      <c r="P4" s="151" t="s">
        <v>253</v>
      </c>
      <c r="Q4" s="154">
        <v>0</v>
      </c>
      <c r="R4" s="156">
        <v>0</v>
      </c>
      <c r="S4" s="151" t="s">
        <v>83</v>
      </c>
      <c r="T4" s="150" t="s">
        <v>258</v>
      </c>
      <c r="U4" s="150" t="s">
        <v>259</v>
      </c>
      <c r="V4" s="151" t="s">
        <v>432</v>
      </c>
      <c r="W4" s="151"/>
      <c r="X4" s="159">
        <v>44771</v>
      </c>
      <c r="Y4" s="151">
        <v>2022</v>
      </c>
      <c r="Z4" s="151">
        <v>7</v>
      </c>
      <c r="AA4" s="151">
        <v>29</v>
      </c>
    </row>
    <row r="5" spans="1:27" x14ac:dyDescent="0.55000000000000004">
      <c r="A5" s="151">
        <v>4</v>
      </c>
      <c r="B5" s="150"/>
      <c r="C5" s="152">
        <v>1463000</v>
      </c>
      <c r="D5" s="152">
        <v>1463000</v>
      </c>
      <c r="E5" s="152">
        <v>1463688</v>
      </c>
      <c r="F5" s="152">
        <v>0</v>
      </c>
      <c r="G5" s="152">
        <v>1463688</v>
      </c>
      <c r="H5" s="152">
        <v>1463688</v>
      </c>
      <c r="I5" s="152">
        <v>1463688</v>
      </c>
      <c r="J5" s="152">
        <v>1463688</v>
      </c>
      <c r="K5" s="152">
        <v>1463688</v>
      </c>
      <c r="L5" s="152">
        <v>1463000</v>
      </c>
      <c r="M5" s="150" t="s">
        <v>252</v>
      </c>
      <c r="N5" s="154">
        <v>1</v>
      </c>
      <c r="O5" s="156">
        <v>16</v>
      </c>
      <c r="P5" s="151" t="s">
        <v>253</v>
      </c>
      <c r="Q5" s="154">
        <v>0</v>
      </c>
      <c r="R5" s="156">
        <v>0</v>
      </c>
      <c r="S5" s="151" t="s">
        <v>83</v>
      </c>
      <c r="T5" s="150" t="s">
        <v>260</v>
      </c>
      <c r="U5" s="150" t="s">
        <v>261</v>
      </c>
      <c r="V5" s="151" t="s">
        <v>432</v>
      </c>
      <c r="W5" s="151"/>
      <c r="X5" s="159">
        <v>44771</v>
      </c>
      <c r="Y5" s="151">
        <v>2022</v>
      </c>
      <c r="Z5" s="151">
        <v>7</v>
      </c>
      <c r="AA5" s="151">
        <v>29</v>
      </c>
    </row>
    <row r="6" spans="1:27" x14ac:dyDescent="0.55000000000000004">
      <c r="A6" s="151">
        <v>5</v>
      </c>
      <c r="B6" s="150"/>
      <c r="C6" s="152">
        <v>1375000</v>
      </c>
      <c r="D6" s="152">
        <v>1375000</v>
      </c>
      <c r="E6" s="152">
        <v>1375000</v>
      </c>
      <c r="F6" s="152">
        <v>0</v>
      </c>
      <c r="G6" s="152">
        <v>1375000</v>
      </c>
      <c r="H6" s="152">
        <v>1375000</v>
      </c>
      <c r="I6" s="152">
        <v>1375000</v>
      </c>
      <c r="J6" s="152">
        <v>1375000</v>
      </c>
      <c r="K6" s="152">
        <v>1375000</v>
      </c>
      <c r="L6" s="152">
        <v>1375000</v>
      </c>
      <c r="M6" s="150" t="s">
        <v>252</v>
      </c>
      <c r="N6" s="154">
        <v>1</v>
      </c>
      <c r="O6" s="156">
        <v>20</v>
      </c>
      <c r="P6" s="151" t="s">
        <v>253</v>
      </c>
      <c r="Q6" s="154">
        <v>0</v>
      </c>
      <c r="R6" s="156">
        <v>0</v>
      </c>
      <c r="S6" s="151" t="s">
        <v>83</v>
      </c>
      <c r="T6" s="150" t="s">
        <v>262</v>
      </c>
      <c r="U6" s="150" t="s">
        <v>263</v>
      </c>
      <c r="V6" s="151" t="s">
        <v>432</v>
      </c>
      <c r="W6" s="151"/>
      <c r="X6" s="159">
        <v>44771</v>
      </c>
      <c r="Y6" s="151">
        <v>2022</v>
      </c>
      <c r="Z6" s="151">
        <v>7</v>
      </c>
      <c r="AA6" s="151">
        <v>29</v>
      </c>
    </row>
    <row r="7" spans="1:27" x14ac:dyDescent="0.55000000000000004">
      <c r="A7" s="151">
        <v>6</v>
      </c>
      <c r="B7" s="150"/>
      <c r="C7" s="152">
        <v>3206000</v>
      </c>
      <c r="D7" s="152">
        <v>3206000</v>
      </c>
      <c r="E7" s="152">
        <v>3206820</v>
      </c>
      <c r="F7" s="152">
        <v>0</v>
      </c>
      <c r="G7" s="152">
        <v>3206820</v>
      </c>
      <c r="H7" s="152">
        <v>3206820</v>
      </c>
      <c r="I7" s="152">
        <v>3206820</v>
      </c>
      <c r="J7" s="152">
        <v>3206820</v>
      </c>
      <c r="K7" s="152">
        <v>3206820</v>
      </c>
      <c r="L7" s="152">
        <v>3206000</v>
      </c>
      <c r="M7" s="150" t="s">
        <v>252</v>
      </c>
      <c r="N7" s="154">
        <v>2</v>
      </c>
      <c r="O7" s="156">
        <v>18</v>
      </c>
      <c r="P7" s="151" t="s">
        <v>253</v>
      </c>
      <c r="Q7" s="154">
        <v>0</v>
      </c>
      <c r="R7" s="156">
        <v>0</v>
      </c>
      <c r="S7" s="151" t="s">
        <v>83</v>
      </c>
      <c r="T7" s="150" t="s">
        <v>264</v>
      </c>
      <c r="U7" s="150" t="s">
        <v>265</v>
      </c>
      <c r="V7" s="151" t="s">
        <v>432</v>
      </c>
      <c r="W7" s="151"/>
      <c r="X7" s="159">
        <v>44771</v>
      </c>
      <c r="Y7" s="151">
        <v>2022</v>
      </c>
      <c r="Z7" s="151">
        <v>7</v>
      </c>
      <c r="AA7" s="151">
        <v>29</v>
      </c>
    </row>
    <row r="8" spans="1:27" x14ac:dyDescent="0.55000000000000004">
      <c r="A8" s="151">
        <v>7</v>
      </c>
      <c r="B8" s="150"/>
      <c r="C8" s="152">
        <v>1116000</v>
      </c>
      <c r="D8" s="152">
        <v>1116000</v>
      </c>
      <c r="E8" s="152">
        <v>1116500</v>
      </c>
      <c r="F8" s="152">
        <v>0</v>
      </c>
      <c r="G8" s="152">
        <v>1116500</v>
      </c>
      <c r="H8" s="152">
        <v>1116500</v>
      </c>
      <c r="I8" s="152">
        <v>1116500</v>
      </c>
      <c r="J8" s="152">
        <v>1116500</v>
      </c>
      <c r="K8" s="152">
        <v>1116500</v>
      </c>
      <c r="L8" s="152">
        <v>1116000</v>
      </c>
      <c r="M8" s="150" t="s">
        <v>252</v>
      </c>
      <c r="N8" s="154">
        <v>1</v>
      </c>
      <c r="O8" s="156">
        <v>18</v>
      </c>
      <c r="P8" s="151" t="s">
        <v>253</v>
      </c>
      <c r="Q8" s="154">
        <v>0</v>
      </c>
      <c r="R8" s="156">
        <v>0</v>
      </c>
      <c r="S8" s="151" t="s">
        <v>83</v>
      </c>
      <c r="T8" s="150" t="s">
        <v>266</v>
      </c>
      <c r="U8" s="150" t="s">
        <v>267</v>
      </c>
      <c r="V8" s="151" t="s">
        <v>432</v>
      </c>
      <c r="W8" s="151"/>
      <c r="X8" s="159">
        <v>44771</v>
      </c>
      <c r="Y8" s="151">
        <v>2022</v>
      </c>
      <c r="Z8" s="151">
        <v>7</v>
      </c>
      <c r="AA8" s="151">
        <v>29</v>
      </c>
    </row>
    <row r="9" spans="1:27" x14ac:dyDescent="0.55000000000000004">
      <c r="A9" s="151">
        <v>8</v>
      </c>
      <c r="B9" s="150"/>
      <c r="C9" s="152">
        <v>1463000</v>
      </c>
      <c r="D9" s="152">
        <v>1463000</v>
      </c>
      <c r="E9" s="152">
        <v>1463688</v>
      </c>
      <c r="F9" s="152">
        <v>0</v>
      </c>
      <c r="G9" s="152">
        <v>1463688</v>
      </c>
      <c r="H9" s="152">
        <v>1463688</v>
      </c>
      <c r="I9" s="152">
        <v>1463688</v>
      </c>
      <c r="J9" s="152">
        <v>1463688</v>
      </c>
      <c r="K9" s="152">
        <v>1463688</v>
      </c>
      <c r="L9" s="152">
        <v>1463000</v>
      </c>
      <c r="M9" s="150" t="s">
        <v>252</v>
      </c>
      <c r="N9" s="154">
        <v>1</v>
      </c>
      <c r="O9" s="156">
        <v>6</v>
      </c>
      <c r="P9" s="151" t="s">
        <v>253</v>
      </c>
      <c r="Q9" s="154">
        <v>0</v>
      </c>
      <c r="R9" s="156">
        <v>0</v>
      </c>
      <c r="S9" s="151" t="s">
        <v>83</v>
      </c>
      <c r="T9" s="150" t="s">
        <v>266</v>
      </c>
      <c r="U9" s="150" t="s">
        <v>268</v>
      </c>
      <c r="V9" s="151" t="s">
        <v>432</v>
      </c>
      <c r="W9" s="151"/>
      <c r="X9" s="159">
        <v>44771</v>
      </c>
      <c r="Y9" s="151">
        <v>2022</v>
      </c>
      <c r="Z9" s="151">
        <v>7</v>
      </c>
      <c r="AA9" s="151">
        <v>29</v>
      </c>
    </row>
    <row r="10" spans="1:27" x14ac:dyDescent="0.55000000000000004">
      <c r="A10" s="151">
        <v>9</v>
      </c>
      <c r="B10" s="150"/>
      <c r="C10" s="152">
        <v>1553000</v>
      </c>
      <c r="D10" s="152">
        <v>1553000</v>
      </c>
      <c r="E10" s="152">
        <v>1553200</v>
      </c>
      <c r="F10" s="152">
        <v>0</v>
      </c>
      <c r="G10" s="152">
        <v>1553200</v>
      </c>
      <c r="H10" s="152">
        <v>1553200</v>
      </c>
      <c r="I10" s="152">
        <v>1553200</v>
      </c>
      <c r="J10" s="152">
        <v>1553200</v>
      </c>
      <c r="K10" s="152">
        <v>1553200</v>
      </c>
      <c r="L10" s="152">
        <v>1553000</v>
      </c>
      <c r="M10" s="150" t="s">
        <v>269</v>
      </c>
      <c r="N10" s="154">
        <v>4</v>
      </c>
      <c r="O10" s="156">
        <v>8</v>
      </c>
      <c r="P10" s="151" t="s">
        <v>253</v>
      </c>
      <c r="Q10" s="154">
        <v>0</v>
      </c>
      <c r="R10" s="156">
        <v>0</v>
      </c>
      <c r="S10" s="151" t="s">
        <v>83</v>
      </c>
      <c r="T10" s="150" t="s">
        <v>264</v>
      </c>
      <c r="U10" s="150" t="s">
        <v>270</v>
      </c>
      <c r="V10" s="151" t="s">
        <v>432</v>
      </c>
      <c r="W10" s="151"/>
      <c r="X10" s="159">
        <v>44771</v>
      </c>
      <c r="Y10" s="151">
        <v>2022</v>
      </c>
      <c r="Z10" s="151">
        <v>7</v>
      </c>
      <c r="AA10" s="151">
        <v>29</v>
      </c>
    </row>
    <row r="11" spans="1:27" x14ac:dyDescent="0.55000000000000004">
      <c r="A11" s="151">
        <v>10</v>
      </c>
      <c r="B11" s="150"/>
      <c r="C11" s="152">
        <v>1243000</v>
      </c>
      <c r="D11" s="152">
        <v>1243000</v>
      </c>
      <c r="E11" s="152">
        <v>1243000</v>
      </c>
      <c r="F11" s="152">
        <v>0</v>
      </c>
      <c r="G11" s="152">
        <v>1243000</v>
      </c>
      <c r="H11" s="152">
        <v>1243000</v>
      </c>
      <c r="I11" s="152">
        <v>1243000</v>
      </c>
      <c r="J11" s="152">
        <v>1243000</v>
      </c>
      <c r="K11" s="152">
        <v>1243000</v>
      </c>
      <c r="L11" s="152">
        <v>1243000</v>
      </c>
      <c r="M11" s="150" t="s">
        <v>252</v>
      </c>
      <c r="N11" s="154">
        <v>1</v>
      </c>
      <c r="O11" s="156">
        <v>5</v>
      </c>
      <c r="P11" s="151" t="s">
        <v>253</v>
      </c>
      <c r="Q11" s="154">
        <v>0</v>
      </c>
      <c r="R11" s="156">
        <v>0</v>
      </c>
      <c r="S11" s="151" t="s">
        <v>83</v>
      </c>
      <c r="T11" s="150" t="s">
        <v>262</v>
      </c>
      <c r="U11" s="150" t="s">
        <v>271</v>
      </c>
      <c r="V11" s="151" t="s">
        <v>432</v>
      </c>
      <c r="W11" s="151"/>
      <c r="X11" s="159">
        <v>44771</v>
      </c>
      <c r="Y11" s="151">
        <v>2022</v>
      </c>
      <c r="Z11" s="151">
        <v>7</v>
      </c>
      <c r="AA11" s="151">
        <v>29</v>
      </c>
    </row>
    <row r="12" spans="1:27" x14ac:dyDescent="0.55000000000000004">
      <c r="A12" s="151">
        <v>11</v>
      </c>
      <c r="B12" s="150"/>
      <c r="C12" s="152">
        <v>1463000</v>
      </c>
      <c r="D12" s="152">
        <v>1463000</v>
      </c>
      <c r="E12" s="152">
        <v>1463688</v>
      </c>
      <c r="F12" s="152">
        <v>0</v>
      </c>
      <c r="G12" s="152">
        <v>1463688</v>
      </c>
      <c r="H12" s="152">
        <v>1463688</v>
      </c>
      <c r="I12" s="152">
        <v>1463688</v>
      </c>
      <c r="J12" s="152">
        <v>1463688</v>
      </c>
      <c r="K12" s="152">
        <v>1463688</v>
      </c>
      <c r="L12" s="152">
        <v>1463000</v>
      </c>
      <c r="M12" s="150" t="s">
        <v>252</v>
      </c>
      <c r="N12" s="154">
        <v>1</v>
      </c>
      <c r="O12" s="156">
        <v>24</v>
      </c>
      <c r="P12" s="151" t="s">
        <v>253</v>
      </c>
      <c r="Q12" s="154">
        <v>0</v>
      </c>
      <c r="R12" s="156">
        <v>0</v>
      </c>
      <c r="S12" s="151" t="s">
        <v>83</v>
      </c>
      <c r="T12" s="150" t="s">
        <v>272</v>
      </c>
      <c r="U12" s="150" t="s">
        <v>273</v>
      </c>
      <c r="V12" s="151" t="s">
        <v>432</v>
      </c>
      <c r="W12" s="151"/>
      <c r="X12" s="159">
        <v>44771</v>
      </c>
      <c r="Y12" s="151">
        <v>2022</v>
      </c>
      <c r="Z12" s="151">
        <v>7</v>
      </c>
      <c r="AA12" s="151">
        <v>29</v>
      </c>
    </row>
    <row r="13" spans="1:27" x14ac:dyDescent="0.55000000000000004">
      <c r="A13" s="151">
        <v>12</v>
      </c>
      <c r="B13" s="150"/>
      <c r="C13" s="152">
        <v>1496000</v>
      </c>
      <c r="D13" s="152">
        <v>1496000</v>
      </c>
      <c r="E13" s="152">
        <v>1496000</v>
      </c>
      <c r="F13" s="152">
        <v>0</v>
      </c>
      <c r="G13" s="152">
        <v>1496000</v>
      </c>
      <c r="H13" s="152">
        <v>1496000</v>
      </c>
      <c r="I13" s="152">
        <v>1496000</v>
      </c>
      <c r="J13" s="152">
        <v>1496000</v>
      </c>
      <c r="K13" s="152">
        <v>1496000</v>
      </c>
      <c r="L13" s="152">
        <v>1496000</v>
      </c>
      <c r="M13" s="150" t="s">
        <v>252</v>
      </c>
      <c r="N13" s="154">
        <v>1</v>
      </c>
      <c r="O13" s="156">
        <v>8</v>
      </c>
      <c r="P13" s="151" t="s">
        <v>253</v>
      </c>
      <c r="Q13" s="154">
        <v>0</v>
      </c>
      <c r="R13" s="156">
        <v>0</v>
      </c>
      <c r="S13" s="151" t="s">
        <v>83</v>
      </c>
      <c r="T13" s="150" t="s">
        <v>274</v>
      </c>
      <c r="U13" s="150" t="s">
        <v>275</v>
      </c>
      <c r="V13" s="151" t="s">
        <v>432</v>
      </c>
      <c r="W13" s="151"/>
      <c r="X13" s="159">
        <v>44771</v>
      </c>
      <c r="Y13" s="151">
        <v>2022</v>
      </c>
      <c r="Z13" s="151">
        <v>7</v>
      </c>
      <c r="AA13" s="151">
        <v>29</v>
      </c>
    </row>
    <row r="14" spans="1:27" x14ac:dyDescent="0.55000000000000004">
      <c r="A14" s="151">
        <v>13</v>
      </c>
      <c r="B14" s="150"/>
      <c r="C14" s="152">
        <v>1390000</v>
      </c>
      <c r="D14" s="152">
        <v>1390000</v>
      </c>
      <c r="E14" s="152">
        <v>1390400</v>
      </c>
      <c r="F14" s="152">
        <v>0</v>
      </c>
      <c r="G14" s="152">
        <v>1390400</v>
      </c>
      <c r="H14" s="152">
        <v>1390400</v>
      </c>
      <c r="I14" s="152">
        <v>1390400</v>
      </c>
      <c r="J14" s="152">
        <v>1390400</v>
      </c>
      <c r="K14" s="152">
        <v>1390400</v>
      </c>
      <c r="L14" s="152">
        <v>1390000</v>
      </c>
      <c r="M14" s="150" t="s">
        <v>252</v>
      </c>
      <c r="N14" s="154">
        <v>1</v>
      </c>
      <c r="O14" s="156">
        <v>3</v>
      </c>
      <c r="P14" s="151" t="s">
        <v>253</v>
      </c>
      <c r="Q14" s="154">
        <v>0</v>
      </c>
      <c r="R14" s="156">
        <v>0</v>
      </c>
      <c r="S14" s="151" t="s">
        <v>83</v>
      </c>
      <c r="T14" s="150" t="s">
        <v>276</v>
      </c>
      <c r="U14" s="150" t="s">
        <v>277</v>
      </c>
      <c r="V14" s="151" t="s">
        <v>432</v>
      </c>
      <c r="W14" s="151"/>
      <c r="X14" s="159">
        <v>44771</v>
      </c>
      <c r="Y14" s="151">
        <v>2022</v>
      </c>
      <c r="Z14" s="151">
        <v>7</v>
      </c>
      <c r="AA14" s="151">
        <v>29</v>
      </c>
    </row>
    <row r="15" spans="1:27" x14ac:dyDescent="0.55000000000000004">
      <c r="A15" s="151">
        <v>15</v>
      </c>
      <c r="B15" s="150"/>
      <c r="C15" s="152">
        <v>1602000</v>
      </c>
      <c r="D15" s="152">
        <v>1602000</v>
      </c>
      <c r="E15" s="152">
        <v>1602700</v>
      </c>
      <c r="F15" s="152">
        <v>0</v>
      </c>
      <c r="G15" s="152">
        <v>1602700</v>
      </c>
      <c r="H15" s="152">
        <v>1602700</v>
      </c>
      <c r="I15" s="152">
        <v>1602700</v>
      </c>
      <c r="J15" s="152">
        <v>1602700</v>
      </c>
      <c r="K15" s="152">
        <v>1602700</v>
      </c>
      <c r="L15" s="152">
        <v>1602000</v>
      </c>
      <c r="M15" s="150" t="s">
        <v>269</v>
      </c>
      <c r="N15" s="154">
        <v>1</v>
      </c>
      <c r="O15" s="156">
        <v>8</v>
      </c>
      <c r="P15" s="151" t="s">
        <v>253</v>
      </c>
      <c r="Q15" s="154">
        <v>0</v>
      </c>
      <c r="R15" s="156">
        <v>0</v>
      </c>
      <c r="S15" s="151" t="s">
        <v>83</v>
      </c>
      <c r="T15" s="150" t="s">
        <v>278</v>
      </c>
      <c r="U15" s="150" t="s">
        <v>279</v>
      </c>
      <c r="V15" s="151" t="s">
        <v>432</v>
      </c>
      <c r="W15" s="151"/>
      <c r="X15" s="159">
        <v>44771</v>
      </c>
      <c r="Y15" s="151">
        <v>2022</v>
      </c>
      <c r="Z15" s="151">
        <v>7</v>
      </c>
      <c r="AA15" s="151">
        <v>29</v>
      </c>
    </row>
    <row r="16" spans="1:27" x14ac:dyDescent="0.55000000000000004">
      <c r="A16" s="151">
        <v>16</v>
      </c>
      <c r="B16" s="150"/>
      <c r="C16" s="152">
        <v>3355000</v>
      </c>
      <c r="D16" s="152">
        <v>3355000</v>
      </c>
      <c r="E16" s="152">
        <v>3355000</v>
      </c>
      <c r="F16" s="152">
        <v>0</v>
      </c>
      <c r="G16" s="152">
        <v>3355000</v>
      </c>
      <c r="H16" s="152">
        <v>3355000</v>
      </c>
      <c r="I16" s="152">
        <v>3355000</v>
      </c>
      <c r="J16" s="152">
        <v>3355000</v>
      </c>
      <c r="K16" s="152">
        <v>3355000</v>
      </c>
      <c r="L16" s="152">
        <v>3355000</v>
      </c>
      <c r="M16" s="150" t="s">
        <v>280</v>
      </c>
      <c r="N16" s="154">
        <v>1</v>
      </c>
      <c r="O16" s="156">
        <v>70</v>
      </c>
      <c r="P16" s="151" t="s">
        <v>253</v>
      </c>
      <c r="Q16" s="154">
        <v>0</v>
      </c>
      <c r="R16" s="156">
        <v>0</v>
      </c>
      <c r="S16" s="151" t="s">
        <v>83</v>
      </c>
      <c r="T16" s="150" t="s">
        <v>266</v>
      </c>
      <c r="U16" s="150" t="s">
        <v>281</v>
      </c>
      <c r="V16" s="151" t="s">
        <v>432</v>
      </c>
      <c r="W16" s="151"/>
      <c r="X16" s="159">
        <v>44771</v>
      </c>
      <c r="Y16" s="151">
        <v>2022</v>
      </c>
      <c r="Z16" s="151">
        <v>7</v>
      </c>
      <c r="AA16" s="151">
        <v>29</v>
      </c>
    </row>
    <row r="17" spans="1:27" x14ac:dyDescent="0.55000000000000004">
      <c r="A17" s="151">
        <v>17</v>
      </c>
      <c r="B17" s="150"/>
      <c r="C17" s="152">
        <v>1045000</v>
      </c>
      <c r="D17" s="152">
        <v>1045000</v>
      </c>
      <c r="E17" s="152">
        <v>1045000</v>
      </c>
      <c r="F17" s="152">
        <v>0</v>
      </c>
      <c r="G17" s="152">
        <v>1045000</v>
      </c>
      <c r="H17" s="152">
        <v>1045000</v>
      </c>
      <c r="I17" s="152">
        <v>1045000</v>
      </c>
      <c r="J17" s="152">
        <v>1045000</v>
      </c>
      <c r="K17" s="152">
        <v>1045000</v>
      </c>
      <c r="L17" s="152">
        <v>1045000</v>
      </c>
      <c r="M17" s="150" t="s">
        <v>252</v>
      </c>
      <c r="N17" s="154">
        <v>1</v>
      </c>
      <c r="O17" s="156">
        <v>10</v>
      </c>
      <c r="P17" s="151" t="s">
        <v>253</v>
      </c>
      <c r="Q17" s="154">
        <v>0</v>
      </c>
      <c r="R17" s="156">
        <v>0</v>
      </c>
      <c r="S17" s="151" t="s">
        <v>83</v>
      </c>
      <c r="T17" s="150" t="s">
        <v>266</v>
      </c>
      <c r="U17" s="150" t="s">
        <v>282</v>
      </c>
      <c r="V17" s="151" t="s">
        <v>432</v>
      </c>
      <c r="W17" s="151"/>
      <c r="X17" s="159">
        <v>44771</v>
      </c>
      <c r="Y17" s="151">
        <v>2022</v>
      </c>
      <c r="Z17" s="151">
        <v>7</v>
      </c>
      <c r="AA17" s="151">
        <v>29</v>
      </c>
    </row>
    <row r="18" spans="1:27" x14ac:dyDescent="0.55000000000000004">
      <c r="A18" s="151">
        <v>18</v>
      </c>
      <c r="B18" s="150"/>
      <c r="C18" s="152">
        <v>1375000</v>
      </c>
      <c r="D18" s="152">
        <v>1375000</v>
      </c>
      <c r="E18" s="152">
        <v>1375000</v>
      </c>
      <c r="F18" s="152">
        <v>0</v>
      </c>
      <c r="G18" s="152">
        <v>1375000</v>
      </c>
      <c r="H18" s="152">
        <v>1375000</v>
      </c>
      <c r="I18" s="152">
        <v>1375000</v>
      </c>
      <c r="J18" s="152">
        <v>1375000</v>
      </c>
      <c r="K18" s="152">
        <v>1375000</v>
      </c>
      <c r="L18" s="152">
        <v>1375000</v>
      </c>
      <c r="M18" s="150" t="s">
        <v>252</v>
      </c>
      <c r="N18" s="154">
        <v>1</v>
      </c>
      <c r="O18" s="156">
        <v>10</v>
      </c>
      <c r="P18" s="151" t="s">
        <v>253</v>
      </c>
      <c r="Q18" s="154">
        <v>0</v>
      </c>
      <c r="R18" s="156">
        <v>0</v>
      </c>
      <c r="S18" s="151" t="s">
        <v>83</v>
      </c>
      <c r="T18" s="150" t="s">
        <v>283</v>
      </c>
      <c r="U18" s="150" t="s">
        <v>284</v>
      </c>
      <c r="V18" s="151" t="s">
        <v>432</v>
      </c>
      <c r="W18" s="151"/>
      <c r="X18" s="159">
        <v>44771</v>
      </c>
      <c r="Y18" s="151">
        <v>2022</v>
      </c>
      <c r="Z18" s="151">
        <v>7</v>
      </c>
      <c r="AA18" s="151">
        <v>29</v>
      </c>
    </row>
    <row r="19" spans="1:27" x14ac:dyDescent="0.55000000000000004">
      <c r="A19" s="151">
        <v>19</v>
      </c>
      <c r="B19" s="150"/>
      <c r="C19" s="152">
        <v>1515000</v>
      </c>
      <c r="D19" s="152">
        <v>1515000</v>
      </c>
      <c r="E19" s="152">
        <v>1515800</v>
      </c>
      <c r="F19" s="152">
        <v>0</v>
      </c>
      <c r="G19" s="152">
        <v>1515800</v>
      </c>
      <c r="H19" s="152">
        <v>1515800</v>
      </c>
      <c r="I19" s="152">
        <v>1515800</v>
      </c>
      <c r="J19" s="152">
        <v>1515800</v>
      </c>
      <c r="K19" s="152">
        <v>1515800</v>
      </c>
      <c r="L19" s="152">
        <v>1515000</v>
      </c>
      <c r="M19" s="150" t="s">
        <v>269</v>
      </c>
      <c r="N19" s="154">
        <v>1</v>
      </c>
      <c r="O19" s="156">
        <v>5</v>
      </c>
      <c r="P19" s="151" t="s">
        <v>253</v>
      </c>
      <c r="Q19" s="154">
        <v>0</v>
      </c>
      <c r="R19" s="156">
        <v>0</v>
      </c>
      <c r="S19" s="151" t="s">
        <v>83</v>
      </c>
      <c r="T19" s="150" t="s">
        <v>254</v>
      </c>
      <c r="U19" s="150" t="e">
        <v>#N/A</v>
      </c>
      <c r="V19" s="151" t="s">
        <v>432</v>
      </c>
      <c r="W19" s="151"/>
      <c r="X19" s="159">
        <v>44771</v>
      </c>
      <c r="Y19" s="151">
        <v>2022</v>
      </c>
      <c r="Z19" s="151">
        <v>7</v>
      </c>
      <c r="AA19" s="151">
        <v>29</v>
      </c>
    </row>
    <row r="20" spans="1:27" x14ac:dyDescent="0.55000000000000004">
      <c r="A20" s="151">
        <v>20</v>
      </c>
      <c r="B20" s="150"/>
      <c r="C20" s="152">
        <v>1518000</v>
      </c>
      <c r="D20" s="152">
        <v>1518000</v>
      </c>
      <c r="E20" s="152">
        <v>1518000</v>
      </c>
      <c r="F20" s="152">
        <v>0</v>
      </c>
      <c r="G20" s="152">
        <v>1518000</v>
      </c>
      <c r="H20" s="152">
        <v>1518000</v>
      </c>
      <c r="I20" s="152">
        <v>1518000</v>
      </c>
      <c r="J20" s="152">
        <v>1518000</v>
      </c>
      <c r="K20" s="152">
        <v>1518000</v>
      </c>
      <c r="L20" s="152">
        <v>1518000</v>
      </c>
      <c r="M20" s="150" t="s">
        <v>252</v>
      </c>
      <c r="N20" s="154">
        <v>1</v>
      </c>
      <c r="O20" s="156">
        <v>15</v>
      </c>
      <c r="P20" s="151" t="s">
        <v>253</v>
      </c>
      <c r="Q20" s="154">
        <v>0</v>
      </c>
      <c r="R20" s="156">
        <v>0</v>
      </c>
      <c r="S20" s="151" t="s">
        <v>83</v>
      </c>
      <c r="T20" s="150" t="s">
        <v>266</v>
      </c>
      <c r="U20" s="150" t="s">
        <v>285</v>
      </c>
      <c r="V20" s="151" t="s">
        <v>432</v>
      </c>
      <c r="W20" s="151"/>
      <c r="X20" s="159">
        <v>44771</v>
      </c>
      <c r="Y20" s="151">
        <v>2022</v>
      </c>
      <c r="Z20" s="151">
        <v>7</v>
      </c>
      <c r="AA20" s="151">
        <v>29</v>
      </c>
    </row>
    <row r="21" spans="1:27" x14ac:dyDescent="0.55000000000000004">
      <c r="A21" s="151">
        <v>21</v>
      </c>
      <c r="B21" s="150"/>
      <c r="C21" s="152">
        <v>1515000</v>
      </c>
      <c r="D21" s="152">
        <v>1515000</v>
      </c>
      <c r="E21" s="152">
        <v>1515800</v>
      </c>
      <c r="F21" s="152">
        <v>0</v>
      </c>
      <c r="G21" s="152">
        <v>1515800</v>
      </c>
      <c r="H21" s="152">
        <v>1515800</v>
      </c>
      <c r="I21" s="152">
        <v>1515800</v>
      </c>
      <c r="J21" s="152">
        <v>1515800</v>
      </c>
      <c r="K21" s="152">
        <v>1515800</v>
      </c>
      <c r="L21" s="152">
        <v>1515000</v>
      </c>
      <c r="M21" s="150" t="s">
        <v>252</v>
      </c>
      <c r="N21" s="154">
        <v>1</v>
      </c>
      <c r="O21" s="156">
        <v>20</v>
      </c>
      <c r="P21" s="151" t="s">
        <v>253</v>
      </c>
      <c r="Q21" s="154">
        <v>0</v>
      </c>
      <c r="R21" s="156">
        <v>0</v>
      </c>
      <c r="S21" s="151" t="s">
        <v>83</v>
      </c>
      <c r="T21" s="150" t="s">
        <v>266</v>
      </c>
      <c r="U21" s="150" t="s">
        <v>286</v>
      </c>
      <c r="V21" s="151" t="s">
        <v>432</v>
      </c>
      <c r="W21" s="151"/>
      <c r="X21" s="159">
        <v>44771</v>
      </c>
      <c r="Y21" s="151">
        <v>2022</v>
      </c>
      <c r="Z21" s="151">
        <v>7</v>
      </c>
      <c r="AA21" s="151">
        <v>29</v>
      </c>
    </row>
    <row r="22" spans="1:27" x14ac:dyDescent="0.55000000000000004">
      <c r="A22" s="151">
        <v>22</v>
      </c>
      <c r="B22" s="150"/>
      <c r="C22" s="152">
        <v>1463000</v>
      </c>
      <c r="D22" s="152">
        <v>1463000</v>
      </c>
      <c r="E22" s="152">
        <v>1463688</v>
      </c>
      <c r="F22" s="152">
        <v>0</v>
      </c>
      <c r="G22" s="152">
        <v>1463688</v>
      </c>
      <c r="H22" s="152">
        <v>1463688</v>
      </c>
      <c r="I22" s="152">
        <v>1463688</v>
      </c>
      <c r="J22" s="152">
        <v>1463688</v>
      </c>
      <c r="K22" s="152">
        <v>1463688</v>
      </c>
      <c r="L22" s="152">
        <v>1463000</v>
      </c>
      <c r="M22" s="150" t="s">
        <v>252</v>
      </c>
      <c r="N22" s="154">
        <v>1</v>
      </c>
      <c r="O22" s="156">
        <v>18</v>
      </c>
      <c r="P22" s="151" t="s">
        <v>253</v>
      </c>
      <c r="Q22" s="154">
        <v>0</v>
      </c>
      <c r="R22" s="156">
        <v>0</v>
      </c>
      <c r="S22" s="151" t="s">
        <v>83</v>
      </c>
      <c r="T22" s="150" t="s">
        <v>254</v>
      </c>
      <c r="U22" s="150" t="s">
        <v>261</v>
      </c>
      <c r="V22" s="151" t="s">
        <v>432</v>
      </c>
      <c r="W22" s="151"/>
      <c r="X22" s="159">
        <v>44771</v>
      </c>
      <c r="Y22" s="151">
        <v>2022</v>
      </c>
      <c r="Z22" s="151">
        <v>7</v>
      </c>
      <c r="AA22" s="151">
        <v>29</v>
      </c>
    </row>
    <row r="23" spans="1:27" x14ac:dyDescent="0.55000000000000004">
      <c r="A23" s="151">
        <v>23</v>
      </c>
      <c r="B23" s="150"/>
      <c r="C23" s="152">
        <v>2927000</v>
      </c>
      <c r="D23" s="152">
        <v>2927000</v>
      </c>
      <c r="E23" s="152">
        <v>2927375</v>
      </c>
      <c r="F23" s="152">
        <v>0</v>
      </c>
      <c r="G23" s="152">
        <v>2927375</v>
      </c>
      <c r="H23" s="152">
        <v>2927375</v>
      </c>
      <c r="I23" s="152">
        <v>2927375</v>
      </c>
      <c r="J23" s="152">
        <v>2927375</v>
      </c>
      <c r="K23" s="152">
        <v>2927375</v>
      </c>
      <c r="L23" s="152">
        <v>2927000</v>
      </c>
      <c r="M23" s="150" t="s">
        <v>252</v>
      </c>
      <c r="N23" s="154">
        <v>2</v>
      </c>
      <c r="O23" s="156">
        <v>10</v>
      </c>
      <c r="P23" s="151" t="s">
        <v>253</v>
      </c>
      <c r="Q23" s="154">
        <v>0</v>
      </c>
      <c r="R23" s="156">
        <v>0</v>
      </c>
      <c r="S23" s="151" t="s">
        <v>83</v>
      </c>
      <c r="T23" s="150" t="s">
        <v>287</v>
      </c>
      <c r="U23" s="150" t="s">
        <v>288</v>
      </c>
      <c r="V23" s="151" t="s">
        <v>432</v>
      </c>
      <c r="W23" s="151"/>
      <c r="X23" s="159">
        <v>44771</v>
      </c>
      <c r="Y23" s="151">
        <v>2022</v>
      </c>
      <c r="Z23" s="151">
        <v>7</v>
      </c>
      <c r="AA23" s="151">
        <v>29</v>
      </c>
    </row>
    <row r="24" spans="1:27" x14ac:dyDescent="0.55000000000000004">
      <c r="A24" s="151">
        <v>24</v>
      </c>
      <c r="B24" s="150"/>
      <c r="C24" s="152">
        <v>1430000</v>
      </c>
      <c r="D24" s="152">
        <v>1430000</v>
      </c>
      <c r="E24" s="152">
        <v>1430000</v>
      </c>
      <c r="F24" s="152">
        <v>0</v>
      </c>
      <c r="G24" s="152">
        <v>1430000</v>
      </c>
      <c r="H24" s="152">
        <v>1430000</v>
      </c>
      <c r="I24" s="152">
        <v>1430000</v>
      </c>
      <c r="J24" s="152">
        <v>1430000</v>
      </c>
      <c r="K24" s="152">
        <v>1430000</v>
      </c>
      <c r="L24" s="152">
        <v>1430000</v>
      </c>
      <c r="M24" s="150" t="s">
        <v>252</v>
      </c>
      <c r="N24" s="154">
        <v>1</v>
      </c>
      <c r="O24" s="156">
        <v>10</v>
      </c>
      <c r="P24" s="151" t="s">
        <v>253</v>
      </c>
      <c r="Q24" s="154">
        <v>0</v>
      </c>
      <c r="R24" s="156">
        <v>0</v>
      </c>
      <c r="S24" s="151" t="s">
        <v>83</v>
      </c>
      <c r="T24" s="150" t="s">
        <v>266</v>
      </c>
      <c r="U24" s="150" t="s">
        <v>289</v>
      </c>
      <c r="V24" s="151" t="s">
        <v>432</v>
      </c>
      <c r="W24" s="151"/>
      <c r="X24" s="159">
        <v>44771</v>
      </c>
      <c r="Y24" s="151">
        <v>2022</v>
      </c>
      <c r="Z24" s="151">
        <v>7</v>
      </c>
      <c r="AA24" s="151">
        <v>29</v>
      </c>
    </row>
    <row r="25" spans="1:27" x14ac:dyDescent="0.55000000000000004">
      <c r="A25" s="151">
        <v>25</v>
      </c>
      <c r="B25" s="150"/>
      <c r="C25" s="152">
        <v>1603000</v>
      </c>
      <c r="D25" s="152">
        <v>1603000</v>
      </c>
      <c r="E25" s="152">
        <v>1603410</v>
      </c>
      <c r="F25" s="152">
        <v>0</v>
      </c>
      <c r="G25" s="152">
        <v>1603410</v>
      </c>
      <c r="H25" s="152">
        <v>1603410</v>
      </c>
      <c r="I25" s="152">
        <v>1603410</v>
      </c>
      <c r="J25" s="152">
        <v>1603410</v>
      </c>
      <c r="K25" s="152">
        <v>1603410</v>
      </c>
      <c r="L25" s="152">
        <v>1603000</v>
      </c>
      <c r="M25" s="150" t="s">
        <v>252</v>
      </c>
      <c r="N25" s="154">
        <v>1</v>
      </c>
      <c r="O25" s="156">
        <v>4</v>
      </c>
      <c r="P25" s="151" t="s">
        <v>253</v>
      </c>
      <c r="Q25" s="154">
        <v>0</v>
      </c>
      <c r="R25" s="156">
        <v>0</v>
      </c>
      <c r="S25" s="151" t="s">
        <v>83</v>
      </c>
      <c r="T25" s="150" t="s">
        <v>266</v>
      </c>
      <c r="U25" s="150" t="s">
        <v>265</v>
      </c>
      <c r="V25" s="151" t="s">
        <v>432</v>
      </c>
      <c r="W25" s="151"/>
      <c r="X25" s="159">
        <v>44771</v>
      </c>
      <c r="Y25" s="151">
        <v>2022</v>
      </c>
      <c r="Z25" s="151">
        <v>7</v>
      </c>
      <c r="AA25" s="151">
        <v>29</v>
      </c>
    </row>
    <row r="26" spans="1:27" x14ac:dyDescent="0.55000000000000004">
      <c r="A26" s="151">
        <v>26</v>
      </c>
      <c r="B26" s="150"/>
      <c r="C26" s="152">
        <v>1430000</v>
      </c>
      <c r="D26" s="152">
        <v>1430000</v>
      </c>
      <c r="E26" s="152">
        <v>1430000</v>
      </c>
      <c r="F26" s="152">
        <v>0</v>
      </c>
      <c r="G26" s="152">
        <v>1430000</v>
      </c>
      <c r="H26" s="152">
        <v>1430000</v>
      </c>
      <c r="I26" s="152">
        <v>1430000</v>
      </c>
      <c r="J26" s="152">
        <v>1430000</v>
      </c>
      <c r="K26" s="152">
        <v>1430000</v>
      </c>
      <c r="L26" s="152">
        <v>1430000</v>
      </c>
      <c r="M26" s="150" t="s">
        <v>252</v>
      </c>
      <c r="N26" s="154">
        <v>1</v>
      </c>
      <c r="O26" s="156">
        <v>5</v>
      </c>
      <c r="P26" s="151" t="s">
        <v>253</v>
      </c>
      <c r="Q26" s="154">
        <v>0</v>
      </c>
      <c r="R26" s="156">
        <v>0</v>
      </c>
      <c r="S26" s="151" t="s">
        <v>83</v>
      </c>
      <c r="T26" s="150" t="s">
        <v>254</v>
      </c>
      <c r="U26" s="150" t="s">
        <v>290</v>
      </c>
      <c r="V26" s="151" t="s">
        <v>432</v>
      </c>
      <c r="W26" s="151"/>
      <c r="X26" s="159">
        <v>44771</v>
      </c>
      <c r="Y26" s="151">
        <v>2022</v>
      </c>
      <c r="Z26" s="151">
        <v>7</v>
      </c>
      <c r="AA26" s="151">
        <v>29</v>
      </c>
    </row>
    <row r="27" spans="1:27" x14ac:dyDescent="0.55000000000000004">
      <c r="A27" s="151">
        <v>27</v>
      </c>
      <c r="B27" s="150"/>
      <c r="C27" s="152">
        <v>1465000</v>
      </c>
      <c r="D27" s="152">
        <v>1465000</v>
      </c>
      <c r="E27" s="152">
        <v>1465000</v>
      </c>
      <c r="F27" s="152">
        <v>0</v>
      </c>
      <c r="G27" s="152">
        <v>1465000</v>
      </c>
      <c r="H27" s="152">
        <v>1465000</v>
      </c>
      <c r="I27" s="152">
        <v>1465000</v>
      </c>
      <c r="J27" s="152">
        <v>1465000</v>
      </c>
      <c r="K27" s="152">
        <v>1465000</v>
      </c>
      <c r="L27" s="152">
        <v>1465000</v>
      </c>
      <c r="M27" s="150" t="s">
        <v>252</v>
      </c>
      <c r="N27" s="154">
        <v>1</v>
      </c>
      <c r="O27" s="156">
        <v>10</v>
      </c>
      <c r="P27" s="151" t="s">
        <v>253</v>
      </c>
      <c r="Q27" s="154">
        <v>0</v>
      </c>
      <c r="R27" s="156">
        <v>0</v>
      </c>
      <c r="S27" s="151" t="s">
        <v>83</v>
      </c>
      <c r="T27" s="150" t="s">
        <v>274</v>
      </c>
      <c r="U27" s="150" t="s">
        <v>291</v>
      </c>
      <c r="V27" s="151" t="s">
        <v>432</v>
      </c>
      <c r="W27" s="151"/>
      <c r="X27" s="159">
        <v>44771</v>
      </c>
      <c r="Y27" s="151">
        <v>2022</v>
      </c>
      <c r="Z27" s="151">
        <v>7</v>
      </c>
      <c r="AA27" s="151">
        <v>29</v>
      </c>
    </row>
    <row r="28" spans="1:27" x14ac:dyDescent="0.55000000000000004">
      <c r="A28" s="151">
        <v>28</v>
      </c>
      <c r="B28" s="150"/>
      <c r="C28" s="152">
        <v>1243000</v>
      </c>
      <c r="D28" s="152">
        <v>1243000</v>
      </c>
      <c r="E28" s="152">
        <v>1243000</v>
      </c>
      <c r="F28" s="152">
        <v>0</v>
      </c>
      <c r="G28" s="152">
        <v>1243000</v>
      </c>
      <c r="H28" s="152">
        <v>1243000</v>
      </c>
      <c r="I28" s="152">
        <v>1243000</v>
      </c>
      <c r="J28" s="152">
        <v>1243000</v>
      </c>
      <c r="K28" s="152">
        <v>1243000</v>
      </c>
      <c r="L28" s="152">
        <v>1243000</v>
      </c>
      <c r="M28" s="150" t="s">
        <v>252</v>
      </c>
      <c r="N28" s="154">
        <v>1</v>
      </c>
      <c r="O28" s="156">
        <v>5</v>
      </c>
      <c r="P28" s="151" t="s">
        <v>253</v>
      </c>
      <c r="Q28" s="154">
        <v>0</v>
      </c>
      <c r="R28" s="156">
        <v>0</v>
      </c>
      <c r="S28" s="151" t="s">
        <v>83</v>
      </c>
      <c r="T28" s="150" t="s">
        <v>260</v>
      </c>
      <c r="U28" s="150" t="s">
        <v>292</v>
      </c>
      <c r="V28" s="151" t="s">
        <v>433</v>
      </c>
      <c r="W28" s="151"/>
      <c r="X28" s="159">
        <v>44771</v>
      </c>
      <c r="Y28" s="151">
        <v>2022</v>
      </c>
      <c r="Z28" s="151">
        <v>7</v>
      </c>
      <c r="AA28" s="151">
        <v>29</v>
      </c>
    </row>
    <row r="29" spans="1:27" x14ac:dyDescent="0.55000000000000004">
      <c r="A29" s="151">
        <v>29</v>
      </c>
      <c r="B29" s="150"/>
      <c r="C29" s="152">
        <v>1540000</v>
      </c>
      <c r="D29" s="152">
        <v>1540000</v>
      </c>
      <c r="E29" s="152">
        <v>1540000</v>
      </c>
      <c r="F29" s="152">
        <v>0</v>
      </c>
      <c r="G29" s="152">
        <v>1540000</v>
      </c>
      <c r="H29" s="152">
        <v>1540000</v>
      </c>
      <c r="I29" s="152">
        <v>1540000</v>
      </c>
      <c r="J29" s="152">
        <v>1540000</v>
      </c>
      <c r="K29" s="152">
        <v>1540000</v>
      </c>
      <c r="L29" s="152">
        <v>1540000</v>
      </c>
      <c r="M29" s="150" t="s">
        <v>252</v>
      </c>
      <c r="N29" s="154">
        <v>1</v>
      </c>
      <c r="O29" s="156">
        <v>10</v>
      </c>
      <c r="P29" s="151" t="s">
        <v>253</v>
      </c>
      <c r="Q29" s="154">
        <v>0</v>
      </c>
      <c r="R29" s="156">
        <v>0</v>
      </c>
      <c r="S29" s="151" t="s">
        <v>83</v>
      </c>
      <c r="T29" s="150" t="s">
        <v>276</v>
      </c>
      <c r="U29" s="150" t="s">
        <v>293</v>
      </c>
      <c r="V29" s="151" t="s">
        <v>432</v>
      </c>
      <c r="W29" s="151"/>
      <c r="X29" s="159">
        <v>44771</v>
      </c>
      <c r="Y29" s="151">
        <v>2022</v>
      </c>
      <c r="Z29" s="151">
        <v>7</v>
      </c>
      <c r="AA29" s="151">
        <v>29</v>
      </c>
    </row>
    <row r="30" spans="1:27" x14ac:dyDescent="0.55000000000000004">
      <c r="A30" s="151">
        <v>30</v>
      </c>
      <c r="B30" s="150"/>
      <c r="C30" s="152">
        <v>1342000</v>
      </c>
      <c r="D30" s="152">
        <v>1342000</v>
      </c>
      <c r="E30" s="152">
        <v>1342000</v>
      </c>
      <c r="F30" s="152">
        <v>0</v>
      </c>
      <c r="G30" s="152">
        <v>1342000</v>
      </c>
      <c r="H30" s="152">
        <v>1342000</v>
      </c>
      <c r="I30" s="152">
        <v>1342000</v>
      </c>
      <c r="J30" s="152">
        <v>1342000</v>
      </c>
      <c r="K30" s="152">
        <v>1342000</v>
      </c>
      <c r="L30" s="152">
        <v>1342000</v>
      </c>
      <c r="M30" s="150" t="s">
        <v>252</v>
      </c>
      <c r="N30" s="154">
        <v>1</v>
      </c>
      <c r="O30" s="156">
        <v>15</v>
      </c>
      <c r="P30" s="151" t="s">
        <v>253</v>
      </c>
      <c r="Q30" s="154">
        <v>0</v>
      </c>
      <c r="R30" s="156">
        <v>0</v>
      </c>
      <c r="S30" s="151" t="s">
        <v>83</v>
      </c>
      <c r="T30" s="150" t="s">
        <v>256</v>
      </c>
      <c r="U30" s="150" t="s">
        <v>294</v>
      </c>
      <c r="V30" s="151" t="s">
        <v>432</v>
      </c>
      <c r="W30" s="151"/>
      <c r="X30" s="159">
        <v>44771</v>
      </c>
      <c r="Y30" s="151">
        <v>2022</v>
      </c>
      <c r="Z30" s="151">
        <v>7</v>
      </c>
      <c r="AA30" s="151">
        <v>29</v>
      </c>
    </row>
    <row r="31" spans="1:27" x14ac:dyDescent="0.55000000000000004">
      <c r="A31" s="151">
        <v>31</v>
      </c>
      <c r="B31" s="150"/>
      <c r="C31" s="152">
        <v>1515000</v>
      </c>
      <c r="D31" s="152">
        <v>1515000</v>
      </c>
      <c r="E31" s="152">
        <v>1515800</v>
      </c>
      <c r="F31" s="152">
        <v>0</v>
      </c>
      <c r="G31" s="152">
        <v>1515800</v>
      </c>
      <c r="H31" s="152">
        <v>1515800</v>
      </c>
      <c r="I31" s="152">
        <v>1515800</v>
      </c>
      <c r="J31" s="152">
        <v>1515800</v>
      </c>
      <c r="K31" s="152">
        <v>1515800</v>
      </c>
      <c r="L31" s="152">
        <v>1515000</v>
      </c>
      <c r="M31" s="150" t="s">
        <v>252</v>
      </c>
      <c r="N31" s="154">
        <v>1</v>
      </c>
      <c r="O31" s="156">
        <v>18</v>
      </c>
      <c r="P31" s="151" t="s">
        <v>253</v>
      </c>
      <c r="Q31" s="154">
        <v>0</v>
      </c>
      <c r="R31" s="156">
        <v>0</v>
      </c>
      <c r="S31" s="151" t="s">
        <v>83</v>
      </c>
      <c r="T31" s="150" t="s">
        <v>274</v>
      </c>
      <c r="U31" s="150" t="s">
        <v>295</v>
      </c>
      <c r="V31" s="151" t="s">
        <v>432</v>
      </c>
      <c r="W31" s="151"/>
      <c r="X31" s="159">
        <v>44771</v>
      </c>
      <c r="Y31" s="151">
        <v>2022</v>
      </c>
      <c r="Z31" s="151">
        <v>7</v>
      </c>
      <c r="AA31" s="151">
        <v>29</v>
      </c>
    </row>
    <row r="32" spans="1:27" x14ac:dyDescent="0.55000000000000004">
      <c r="A32" s="151">
        <v>32</v>
      </c>
      <c r="B32" s="150"/>
      <c r="C32" s="152">
        <v>1493000</v>
      </c>
      <c r="D32" s="152">
        <v>1493000</v>
      </c>
      <c r="E32" s="152">
        <v>1493800</v>
      </c>
      <c r="F32" s="152">
        <v>0</v>
      </c>
      <c r="G32" s="152">
        <v>1493800</v>
      </c>
      <c r="H32" s="152">
        <v>1493800</v>
      </c>
      <c r="I32" s="152">
        <v>1493800</v>
      </c>
      <c r="J32" s="152">
        <v>1493800</v>
      </c>
      <c r="K32" s="152">
        <v>1493800</v>
      </c>
      <c r="L32" s="152">
        <v>1493000</v>
      </c>
      <c r="M32" s="150" t="s">
        <v>269</v>
      </c>
      <c r="N32" s="154">
        <v>1</v>
      </c>
      <c r="O32" s="156">
        <v>15</v>
      </c>
      <c r="P32" s="151" t="s">
        <v>253</v>
      </c>
      <c r="Q32" s="154">
        <v>0</v>
      </c>
      <c r="R32" s="156">
        <v>0</v>
      </c>
      <c r="S32" s="151" t="s">
        <v>83</v>
      </c>
      <c r="T32" s="150" t="s">
        <v>266</v>
      </c>
      <c r="U32" s="150" t="s">
        <v>296</v>
      </c>
      <c r="V32" s="151" t="s">
        <v>432</v>
      </c>
      <c r="W32" s="151"/>
      <c r="X32" s="159">
        <v>44771</v>
      </c>
      <c r="Y32" s="151">
        <v>2022</v>
      </c>
      <c r="Z32" s="151">
        <v>7</v>
      </c>
      <c r="AA32" s="151">
        <v>29</v>
      </c>
    </row>
    <row r="33" spans="1:27" x14ac:dyDescent="0.55000000000000004">
      <c r="A33" s="151">
        <v>33</v>
      </c>
      <c r="B33" s="150"/>
      <c r="C33" s="152">
        <v>1100000</v>
      </c>
      <c r="D33" s="152">
        <v>1100000</v>
      </c>
      <c r="E33" s="152">
        <v>1100000</v>
      </c>
      <c r="F33" s="152">
        <v>0</v>
      </c>
      <c r="G33" s="152">
        <v>1100000</v>
      </c>
      <c r="H33" s="152">
        <v>1100000</v>
      </c>
      <c r="I33" s="152">
        <v>1100000</v>
      </c>
      <c r="J33" s="152">
        <v>1100000</v>
      </c>
      <c r="K33" s="152">
        <v>1100000</v>
      </c>
      <c r="L33" s="152">
        <v>1100000</v>
      </c>
      <c r="M33" s="150" t="s">
        <v>252</v>
      </c>
      <c r="N33" s="154">
        <v>1</v>
      </c>
      <c r="O33" s="156">
        <v>6</v>
      </c>
      <c r="P33" s="151" t="s">
        <v>253</v>
      </c>
      <c r="Q33" s="154">
        <v>0</v>
      </c>
      <c r="R33" s="156">
        <v>0</v>
      </c>
      <c r="S33" s="151" t="s">
        <v>83</v>
      </c>
      <c r="T33" s="150" t="s">
        <v>256</v>
      </c>
      <c r="U33" s="150" t="s">
        <v>297</v>
      </c>
      <c r="V33" s="151" t="s">
        <v>432</v>
      </c>
      <c r="W33" s="151"/>
      <c r="X33" s="159">
        <v>44771</v>
      </c>
      <c r="Y33" s="151">
        <v>2022</v>
      </c>
      <c r="Z33" s="151">
        <v>7</v>
      </c>
      <c r="AA33" s="151">
        <v>29</v>
      </c>
    </row>
    <row r="34" spans="1:27" x14ac:dyDescent="0.55000000000000004">
      <c r="A34" s="151">
        <v>34</v>
      </c>
      <c r="B34" s="150"/>
      <c r="C34" s="152">
        <v>1463000</v>
      </c>
      <c r="D34" s="152">
        <v>1463000</v>
      </c>
      <c r="E34" s="152">
        <v>1463000</v>
      </c>
      <c r="F34" s="152">
        <v>0</v>
      </c>
      <c r="G34" s="152">
        <v>1463000</v>
      </c>
      <c r="H34" s="152">
        <v>1463000</v>
      </c>
      <c r="I34" s="152">
        <v>1463000</v>
      </c>
      <c r="J34" s="152">
        <v>1463000</v>
      </c>
      <c r="K34" s="152">
        <v>1463000</v>
      </c>
      <c r="L34" s="152">
        <v>1463000</v>
      </c>
      <c r="M34" s="150" t="s">
        <v>252</v>
      </c>
      <c r="N34" s="154">
        <v>1</v>
      </c>
      <c r="O34" s="156">
        <v>5</v>
      </c>
      <c r="P34" s="151" t="s">
        <v>253</v>
      </c>
      <c r="Q34" s="154">
        <v>0</v>
      </c>
      <c r="R34" s="156">
        <v>0</v>
      </c>
      <c r="S34" s="151" t="s">
        <v>83</v>
      </c>
      <c r="T34" s="150" t="s">
        <v>260</v>
      </c>
      <c r="U34" s="150" t="s">
        <v>298</v>
      </c>
      <c r="V34" s="151" t="s">
        <v>432</v>
      </c>
      <c r="W34" s="151"/>
      <c r="X34" s="159">
        <v>44771</v>
      </c>
      <c r="Y34" s="151">
        <v>2022</v>
      </c>
      <c r="Z34" s="151">
        <v>7</v>
      </c>
      <c r="AA34" s="151">
        <v>29</v>
      </c>
    </row>
    <row r="35" spans="1:27" x14ac:dyDescent="0.55000000000000004">
      <c r="A35" s="151">
        <v>35</v>
      </c>
      <c r="B35" s="150"/>
      <c r="C35" s="152">
        <v>990000</v>
      </c>
      <c r="D35" s="152">
        <v>990000</v>
      </c>
      <c r="E35" s="152">
        <v>990000</v>
      </c>
      <c r="F35" s="152">
        <v>0</v>
      </c>
      <c r="G35" s="152">
        <v>990000</v>
      </c>
      <c r="H35" s="152">
        <v>990000</v>
      </c>
      <c r="I35" s="152">
        <v>990000</v>
      </c>
      <c r="J35" s="152">
        <v>990000</v>
      </c>
      <c r="K35" s="152">
        <v>990000</v>
      </c>
      <c r="L35" s="152">
        <v>990000</v>
      </c>
      <c r="M35" s="150" t="s">
        <v>252</v>
      </c>
      <c r="N35" s="154">
        <v>1</v>
      </c>
      <c r="O35" s="156">
        <v>25</v>
      </c>
      <c r="P35" s="151" t="s">
        <v>253</v>
      </c>
      <c r="Q35" s="154">
        <v>0</v>
      </c>
      <c r="R35" s="156">
        <v>0</v>
      </c>
      <c r="S35" s="151" t="s">
        <v>83</v>
      </c>
      <c r="T35" s="150" t="s">
        <v>264</v>
      </c>
      <c r="U35" s="150" t="s">
        <v>299</v>
      </c>
      <c r="V35" s="151" t="s">
        <v>432</v>
      </c>
      <c r="W35" s="151"/>
      <c r="X35" s="159">
        <v>44771</v>
      </c>
      <c r="Y35" s="151">
        <v>2022</v>
      </c>
      <c r="Z35" s="151">
        <v>7</v>
      </c>
      <c r="AA35" s="151">
        <v>29</v>
      </c>
    </row>
    <row r="36" spans="1:27" x14ac:dyDescent="0.55000000000000004">
      <c r="A36" s="151">
        <v>36</v>
      </c>
      <c r="B36" s="150"/>
      <c r="C36" s="152">
        <v>1408000</v>
      </c>
      <c r="D36" s="152">
        <v>1408000</v>
      </c>
      <c r="E36" s="152">
        <v>1408000</v>
      </c>
      <c r="F36" s="152">
        <v>0</v>
      </c>
      <c r="G36" s="152">
        <v>1408000</v>
      </c>
      <c r="H36" s="152">
        <v>1408000</v>
      </c>
      <c r="I36" s="152">
        <v>1408000</v>
      </c>
      <c r="J36" s="152">
        <v>1408000</v>
      </c>
      <c r="K36" s="152">
        <v>1408000</v>
      </c>
      <c r="L36" s="152">
        <v>1408000</v>
      </c>
      <c r="M36" s="150" t="s">
        <v>252</v>
      </c>
      <c r="N36" s="154">
        <v>1</v>
      </c>
      <c r="O36" s="156">
        <v>12</v>
      </c>
      <c r="P36" s="151" t="s">
        <v>253</v>
      </c>
      <c r="Q36" s="154">
        <v>0</v>
      </c>
      <c r="R36" s="156">
        <v>0</v>
      </c>
      <c r="S36" s="151" t="s">
        <v>83</v>
      </c>
      <c r="T36" s="150" t="s">
        <v>276</v>
      </c>
      <c r="U36" s="150" t="s">
        <v>300</v>
      </c>
      <c r="V36" s="151" t="s">
        <v>432</v>
      </c>
      <c r="W36" s="151"/>
      <c r="X36" s="159">
        <v>44771</v>
      </c>
      <c r="Y36" s="151">
        <v>2022</v>
      </c>
      <c r="Z36" s="151">
        <v>7</v>
      </c>
      <c r="AA36" s="151">
        <v>29</v>
      </c>
    </row>
    <row r="37" spans="1:27" x14ac:dyDescent="0.55000000000000004">
      <c r="A37" s="151">
        <v>39</v>
      </c>
      <c r="B37" s="150"/>
      <c r="C37" s="152">
        <v>1265000</v>
      </c>
      <c r="D37" s="152">
        <v>1265000</v>
      </c>
      <c r="E37" s="152">
        <v>1265000</v>
      </c>
      <c r="F37" s="152">
        <v>0</v>
      </c>
      <c r="G37" s="152">
        <v>1265000</v>
      </c>
      <c r="H37" s="152">
        <v>1265000</v>
      </c>
      <c r="I37" s="152">
        <v>1265000</v>
      </c>
      <c r="J37" s="152">
        <v>1265000</v>
      </c>
      <c r="K37" s="152">
        <v>1265000</v>
      </c>
      <c r="L37" s="152">
        <v>1265000</v>
      </c>
      <c r="M37" s="150" t="s">
        <v>252</v>
      </c>
      <c r="N37" s="154">
        <v>1</v>
      </c>
      <c r="O37" s="156">
        <v>16</v>
      </c>
      <c r="P37" s="151" t="s">
        <v>253</v>
      </c>
      <c r="Q37" s="154">
        <v>0</v>
      </c>
      <c r="R37" s="156">
        <v>0</v>
      </c>
      <c r="S37" s="151" t="s">
        <v>83</v>
      </c>
      <c r="T37" s="150" t="s">
        <v>278</v>
      </c>
      <c r="U37" s="150" t="s">
        <v>301</v>
      </c>
      <c r="V37" s="151" t="s">
        <v>432</v>
      </c>
      <c r="W37" s="151"/>
      <c r="X37" s="159">
        <v>44771</v>
      </c>
      <c r="Y37" s="151">
        <v>2022</v>
      </c>
      <c r="Z37" s="151">
        <v>7</v>
      </c>
      <c r="AA37" s="151">
        <v>29</v>
      </c>
    </row>
    <row r="38" spans="1:27" x14ac:dyDescent="0.55000000000000004">
      <c r="A38" s="151">
        <v>40</v>
      </c>
      <c r="B38" s="150"/>
      <c r="C38" s="152">
        <v>1492000</v>
      </c>
      <c r="D38" s="152">
        <v>1492000</v>
      </c>
      <c r="E38" s="152">
        <v>1492700</v>
      </c>
      <c r="F38" s="152">
        <v>0</v>
      </c>
      <c r="G38" s="152">
        <v>1492700</v>
      </c>
      <c r="H38" s="152">
        <v>1492700</v>
      </c>
      <c r="I38" s="152">
        <v>1492700</v>
      </c>
      <c r="J38" s="152">
        <v>1492700</v>
      </c>
      <c r="K38" s="152">
        <v>1492700</v>
      </c>
      <c r="L38" s="152">
        <v>1492000</v>
      </c>
      <c r="M38" s="150" t="s">
        <v>269</v>
      </c>
      <c r="N38" s="154">
        <v>1</v>
      </c>
      <c r="O38" s="156">
        <v>5</v>
      </c>
      <c r="P38" s="151" t="s">
        <v>253</v>
      </c>
      <c r="Q38" s="154">
        <v>0</v>
      </c>
      <c r="R38" s="156">
        <v>0</v>
      </c>
      <c r="S38" s="151" t="s">
        <v>83</v>
      </c>
      <c r="T38" s="150" t="s">
        <v>256</v>
      </c>
      <c r="U38" s="150" t="s">
        <v>302</v>
      </c>
      <c r="V38" s="151" t="s">
        <v>432</v>
      </c>
      <c r="W38" s="151"/>
      <c r="X38" s="159">
        <v>44771</v>
      </c>
      <c r="Y38" s="151">
        <v>2022</v>
      </c>
      <c r="Z38" s="151">
        <v>7</v>
      </c>
      <c r="AA38" s="151">
        <v>29</v>
      </c>
    </row>
    <row r="39" spans="1:27" x14ac:dyDescent="0.55000000000000004">
      <c r="A39" s="151">
        <v>41</v>
      </c>
      <c r="B39" s="150"/>
      <c r="C39" s="152">
        <v>1497000</v>
      </c>
      <c r="D39" s="152">
        <v>1497000</v>
      </c>
      <c r="E39" s="152">
        <v>1497374</v>
      </c>
      <c r="F39" s="152">
        <v>0</v>
      </c>
      <c r="G39" s="152">
        <v>1497374</v>
      </c>
      <c r="H39" s="152">
        <v>1497374</v>
      </c>
      <c r="I39" s="152">
        <v>1497374</v>
      </c>
      <c r="J39" s="152">
        <v>1497374</v>
      </c>
      <c r="K39" s="152">
        <v>1497374</v>
      </c>
      <c r="L39" s="152">
        <v>1497000</v>
      </c>
      <c r="M39" s="150" t="s">
        <v>252</v>
      </c>
      <c r="N39" s="154">
        <v>1</v>
      </c>
      <c r="O39" s="156">
        <v>6</v>
      </c>
      <c r="P39" s="151" t="s">
        <v>253</v>
      </c>
      <c r="Q39" s="154">
        <v>0</v>
      </c>
      <c r="R39" s="156">
        <v>0</v>
      </c>
      <c r="S39" s="151" t="s">
        <v>83</v>
      </c>
      <c r="T39" s="150" t="s">
        <v>303</v>
      </c>
      <c r="U39" s="150" t="s">
        <v>304</v>
      </c>
      <c r="V39" s="151" t="s">
        <v>432</v>
      </c>
      <c r="W39" s="151"/>
      <c r="X39" s="159">
        <v>44771</v>
      </c>
      <c r="Y39" s="151">
        <v>2022</v>
      </c>
      <c r="Z39" s="151">
        <v>7</v>
      </c>
      <c r="AA39" s="151">
        <v>29</v>
      </c>
    </row>
    <row r="40" spans="1:27" x14ac:dyDescent="0.55000000000000004">
      <c r="A40" s="151">
        <v>42</v>
      </c>
      <c r="B40" s="150"/>
      <c r="C40" s="152">
        <v>1353000</v>
      </c>
      <c r="D40" s="152">
        <v>1353000</v>
      </c>
      <c r="E40" s="152">
        <v>1353687</v>
      </c>
      <c r="F40" s="152">
        <v>0</v>
      </c>
      <c r="G40" s="152">
        <v>1353687</v>
      </c>
      <c r="H40" s="152">
        <v>1353687</v>
      </c>
      <c r="I40" s="152">
        <v>1353687</v>
      </c>
      <c r="J40" s="152">
        <v>1353687</v>
      </c>
      <c r="K40" s="152">
        <v>1353687</v>
      </c>
      <c r="L40" s="152">
        <v>1353000</v>
      </c>
      <c r="M40" s="150" t="s">
        <v>252</v>
      </c>
      <c r="N40" s="154">
        <v>1</v>
      </c>
      <c r="O40" s="156">
        <v>10</v>
      </c>
      <c r="P40" s="151" t="s">
        <v>253</v>
      </c>
      <c r="Q40" s="154">
        <v>0</v>
      </c>
      <c r="R40" s="156">
        <v>0</v>
      </c>
      <c r="S40" s="151" t="s">
        <v>83</v>
      </c>
      <c r="T40" s="150" t="s">
        <v>266</v>
      </c>
      <c r="U40" s="150" t="s">
        <v>305</v>
      </c>
      <c r="V40" s="151" t="s">
        <v>432</v>
      </c>
      <c r="W40" s="151"/>
      <c r="X40" s="159">
        <v>44771</v>
      </c>
      <c r="Y40" s="151">
        <v>2022</v>
      </c>
      <c r="Z40" s="151">
        <v>7</v>
      </c>
      <c r="AA40" s="151">
        <v>29</v>
      </c>
    </row>
    <row r="41" spans="1:27" x14ac:dyDescent="0.55000000000000004">
      <c r="A41" s="151">
        <v>43</v>
      </c>
      <c r="B41" s="150"/>
      <c r="C41" s="152">
        <v>1463000</v>
      </c>
      <c r="D41" s="152">
        <v>1463000</v>
      </c>
      <c r="E41" s="152">
        <v>1463688</v>
      </c>
      <c r="F41" s="152">
        <v>0</v>
      </c>
      <c r="G41" s="152">
        <v>1463688</v>
      </c>
      <c r="H41" s="152">
        <v>1463688</v>
      </c>
      <c r="I41" s="152">
        <v>1463688</v>
      </c>
      <c r="J41" s="152">
        <v>1463688</v>
      </c>
      <c r="K41" s="152">
        <v>1463688</v>
      </c>
      <c r="L41" s="152">
        <v>1463000</v>
      </c>
      <c r="M41" s="150" t="s">
        <v>269</v>
      </c>
      <c r="N41" s="154">
        <v>1</v>
      </c>
      <c r="O41" s="156">
        <v>20</v>
      </c>
      <c r="P41" s="151" t="s">
        <v>253</v>
      </c>
      <c r="Q41" s="154">
        <v>0</v>
      </c>
      <c r="R41" s="156">
        <v>0</v>
      </c>
      <c r="S41" s="151" t="s">
        <v>83</v>
      </c>
      <c r="T41" s="150" t="s">
        <v>254</v>
      </c>
      <c r="U41" s="150" t="s">
        <v>261</v>
      </c>
      <c r="V41" s="151" t="s">
        <v>432</v>
      </c>
      <c r="W41" s="151"/>
      <c r="X41" s="159">
        <v>44771</v>
      </c>
      <c r="Y41" s="151">
        <v>2022</v>
      </c>
      <c r="Z41" s="151">
        <v>7</v>
      </c>
      <c r="AA41" s="151">
        <v>29</v>
      </c>
    </row>
    <row r="42" spans="1:27" x14ac:dyDescent="0.55000000000000004">
      <c r="A42" s="151">
        <v>44</v>
      </c>
      <c r="B42" s="150"/>
      <c r="C42" s="152">
        <v>1465000</v>
      </c>
      <c r="D42" s="152">
        <v>1465000</v>
      </c>
      <c r="E42" s="152">
        <v>1465000</v>
      </c>
      <c r="F42" s="152">
        <v>0</v>
      </c>
      <c r="G42" s="152">
        <v>1465000</v>
      </c>
      <c r="H42" s="152">
        <v>1465000</v>
      </c>
      <c r="I42" s="152">
        <v>1465000</v>
      </c>
      <c r="J42" s="152">
        <v>1465000</v>
      </c>
      <c r="K42" s="152">
        <v>1465000</v>
      </c>
      <c r="L42" s="152">
        <v>1465000</v>
      </c>
      <c r="M42" s="150" t="s">
        <v>252</v>
      </c>
      <c r="N42" s="154">
        <v>1</v>
      </c>
      <c r="O42" s="156">
        <v>20</v>
      </c>
      <c r="P42" s="151" t="s">
        <v>253</v>
      </c>
      <c r="Q42" s="154">
        <v>0</v>
      </c>
      <c r="R42" s="156">
        <v>0</v>
      </c>
      <c r="S42" s="151" t="s">
        <v>83</v>
      </c>
      <c r="T42" s="150" t="s">
        <v>283</v>
      </c>
      <c r="U42" s="150" t="s">
        <v>306</v>
      </c>
      <c r="V42" s="151" t="s">
        <v>432</v>
      </c>
      <c r="W42" s="151"/>
      <c r="X42" s="159">
        <v>44771</v>
      </c>
      <c r="Y42" s="151">
        <v>2022</v>
      </c>
      <c r="Z42" s="151">
        <v>7</v>
      </c>
      <c r="AA42" s="151">
        <v>29</v>
      </c>
    </row>
    <row r="43" spans="1:27" x14ac:dyDescent="0.55000000000000004">
      <c r="A43" s="151">
        <v>45</v>
      </c>
      <c r="B43" s="150"/>
      <c r="C43" s="152">
        <v>1468000</v>
      </c>
      <c r="D43" s="152">
        <v>1468000</v>
      </c>
      <c r="E43" s="152">
        <v>1468500</v>
      </c>
      <c r="F43" s="152">
        <v>0</v>
      </c>
      <c r="G43" s="152">
        <v>1468500</v>
      </c>
      <c r="H43" s="152">
        <v>1468500</v>
      </c>
      <c r="I43" s="152">
        <v>1468500</v>
      </c>
      <c r="J43" s="152">
        <v>1468500</v>
      </c>
      <c r="K43" s="152">
        <v>1468500</v>
      </c>
      <c r="L43" s="152">
        <v>1468000</v>
      </c>
      <c r="M43" s="150" t="s">
        <v>252</v>
      </c>
      <c r="N43" s="154">
        <v>1</v>
      </c>
      <c r="O43" s="156">
        <v>8</v>
      </c>
      <c r="P43" s="151" t="s">
        <v>253</v>
      </c>
      <c r="Q43" s="154">
        <v>0</v>
      </c>
      <c r="R43" s="156">
        <v>0</v>
      </c>
      <c r="S43" s="151" t="s">
        <v>83</v>
      </c>
      <c r="T43" s="150" t="s">
        <v>254</v>
      </c>
      <c r="U43" s="150" t="s">
        <v>307</v>
      </c>
      <c r="V43" s="151" t="s">
        <v>432</v>
      </c>
      <c r="W43" s="151"/>
      <c r="X43" s="159">
        <v>44771</v>
      </c>
      <c r="Y43" s="151">
        <v>2022</v>
      </c>
      <c r="Z43" s="151">
        <v>7</v>
      </c>
      <c r="AA43" s="151">
        <v>29</v>
      </c>
    </row>
    <row r="44" spans="1:27" x14ac:dyDescent="0.55000000000000004">
      <c r="A44" s="151">
        <v>46</v>
      </c>
      <c r="B44" s="150"/>
      <c r="C44" s="152">
        <v>2927000</v>
      </c>
      <c r="D44" s="152">
        <v>2927000</v>
      </c>
      <c r="E44" s="152">
        <v>2927375</v>
      </c>
      <c r="F44" s="152">
        <v>0</v>
      </c>
      <c r="G44" s="152">
        <v>2927375</v>
      </c>
      <c r="H44" s="152">
        <v>2927375</v>
      </c>
      <c r="I44" s="152">
        <v>2927375</v>
      </c>
      <c r="J44" s="152">
        <v>2927375</v>
      </c>
      <c r="K44" s="152">
        <v>2927375</v>
      </c>
      <c r="L44" s="152">
        <v>2927000</v>
      </c>
      <c r="M44" s="150" t="s">
        <v>252</v>
      </c>
      <c r="N44" s="154">
        <v>2</v>
      </c>
      <c r="O44" s="156">
        <v>20</v>
      </c>
      <c r="P44" s="151" t="s">
        <v>253</v>
      </c>
      <c r="Q44" s="154">
        <v>0</v>
      </c>
      <c r="R44" s="156">
        <v>0</v>
      </c>
      <c r="S44" s="151" t="s">
        <v>83</v>
      </c>
      <c r="T44" s="150" t="s">
        <v>254</v>
      </c>
      <c r="U44" s="150" t="s">
        <v>308</v>
      </c>
      <c r="V44" s="151" t="s">
        <v>432</v>
      </c>
      <c r="W44" s="151"/>
      <c r="X44" s="159">
        <v>44771</v>
      </c>
      <c r="Y44" s="151">
        <v>2022</v>
      </c>
      <c r="Z44" s="151">
        <v>7</v>
      </c>
      <c r="AA44" s="151">
        <v>29</v>
      </c>
    </row>
    <row r="45" spans="1:27" x14ac:dyDescent="0.55000000000000004">
      <c r="A45" s="151">
        <v>47</v>
      </c>
      <c r="B45" s="150"/>
      <c r="C45" s="152">
        <v>1430000</v>
      </c>
      <c r="D45" s="152">
        <v>1430000</v>
      </c>
      <c r="E45" s="152">
        <v>1430000</v>
      </c>
      <c r="F45" s="152">
        <v>0</v>
      </c>
      <c r="G45" s="152">
        <v>1430000</v>
      </c>
      <c r="H45" s="152">
        <v>1430000</v>
      </c>
      <c r="I45" s="152">
        <v>1430000</v>
      </c>
      <c r="J45" s="152">
        <v>1430000</v>
      </c>
      <c r="K45" s="152">
        <v>1430000</v>
      </c>
      <c r="L45" s="152">
        <v>1430000</v>
      </c>
      <c r="M45" s="150" t="s">
        <v>252</v>
      </c>
      <c r="N45" s="154">
        <v>1</v>
      </c>
      <c r="O45" s="156">
        <v>8</v>
      </c>
      <c r="P45" s="151" t="s">
        <v>253</v>
      </c>
      <c r="Q45" s="154">
        <v>0</v>
      </c>
      <c r="R45" s="156">
        <v>0</v>
      </c>
      <c r="S45" s="151" t="s">
        <v>83</v>
      </c>
      <c r="T45" s="150" t="s">
        <v>258</v>
      </c>
      <c r="U45" s="150" t="s">
        <v>309</v>
      </c>
      <c r="V45" s="151" t="s">
        <v>432</v>
      </c>
      <c r="W45" s="151"/>
      <c r="X45" s="159">
        <v>44771</v>
      </c>
      <c r="Y45" s="151">
        <v>2022</v>
      </c>
      <c r="Z45" s="151">
        <v>7</v>
      </c>
      <c r="AA45" s="151">
        <v>29</v>
      </c>
    </row>
    <row r="46" spans="1:27" x14ac:dyDescent="0.55000000000000004">
      <c r="A46" s="151">
        <v>48</v>
      </c>
      <c r="B46" s="150"/>
      <c r="C46" s="152">
        <v>176000</v>
      </c>
      <c r="D46" s="152">
        <v>176000</v>
      </c>
      <c r="E46" s="152">
        <v>176220</v>
      </c>
      <c r="F46" s="152">
        <v>0</v>
      </c>
      <c r="G46" s="152">
        <v>176220</v>
      </c>
      <c r="H46" s="152">
        <v>176220</v>
      </c>
      <c r="I46" s="152">
        <v>176220</v>
      </c>
      <c r="J46" s="152">
        <v>176220</v>
      </c>
      <c r="K46" s="152">
        <v>176220</v>
      </c>
      <c r="L46" s="152">
        <v>176000</v>
      </c>
      <c r="M46" s="150" t="s">
        <v>252</v>
      </c>
      <c r="N46" s="154">
        <v>1</v>
      </c>
      <c r="O46" s="156">
        <v>8</v>
      </c>
      <c r="P46" s="151" t="s">
        <v>253</v>
      </c>
      <c r="Q46" s="154">
        <v>0</v>
      </c>
      <c r="R46" s="156">
        <v>0</v>
      </c>
      <c r="S46" s="151" t="s">
        <v>83</v>
      </c>
      <c r="T46" s="150" t="s">
        <v>266</v>
      </c>
      <c r="U46" s="150" t="s">
        <v>294</v>
      </c>
      <c r="V46" s="151" t="s">
        <v>432</v>
      </c>
      <c r="W46" s="151"/>
      <c r="X46" s="159">
        <v>44771</v>
      </c>
      <c r="Y46" s="151">
        <v>2022</v>
      </c>
      <c r="Z46" s="151">
        <v>7</v>
      </c>
      <c r="AA46" s="151">
        <v>29</v>
      </c>
    </row>
    <row r="47" spans="1:27" x14ac:dyDescent="0.55000000000000004">
      <c r="A47" s="151">
        <v>50</v>
      </c>
      <c r="B47" s="150"/>
      <c r="C47" s="152">
        <v>1485000</v>
      </c>
      <c r="D47" s="152">
        <v>1485000</v>
      </c>
      <c r="E47" s="152">
        <v>1485000</v>
      </c>
      <c r="F47" s="152">
        <v>0</v>
      </c>
      <c r="G47" s="152">
        <v>1485000</v>
      </c>
      <c r="H47" s="152">
        <v>1485000</v>
      </c>
      <c r="I47" s="152">
        <v>1485000</v>
      </c>
      <c r="J47" s="152">
        <v>1485000</v>
      </c>
      <c r="K47" s="152">
        <v>1485000</v>
      </c>
      <c r="L47" s="152">
        <v>1485000</v>
      </c>
      <c r="M47" s="150" t="s">
        <v>252</v>
      </c>
      <c r="N47" s="154">
        <v>1</v>
      </c>
      <c r="O47" s="156">
        <v>15</v>
      </c>
      <c r="P47" s="151" t="s">
        <v>253</v>
      </c>
      <c r="Q47" s="154">
        <v>0</v>
      </c>
      <c r="R47" s="156">
        <v>0</v>
      </c>
      <c r="S47" s="151" t="s">
        <v>83</v>
      </c>
      <c r="T47" s="150" t="s">
        <v>256</v>
      </c>
      <c r="U47" s="150" t="s">
        <v>309</v>
      </c>
      <c r="V47" s="151" t="s">
        <v>432</v>
      </c>
      <c r="W47" s="151"/>
      <c r="X47" s="159">
        <v>44771</v>
      </c>
      <c r="Y47" s="151">
        <v>2022</v>
      </c>
      <c r="Z47" s="151">
        <v>7</v>
      </c>
      <c r="AA47" s="151">
        <v>29</v>
      </c>
    </row>
    <row r="48" spans="1:27" x14ac:dyDescent="0.55000000000000004">
      <c r="A48" s="151">
        <v>51</v>
      </c>
      <c r="B48" s="150"/>
      <c r="C48" s="152">
        <v>1463000</v>
      </c>
      <c r="D48" s="152">
        <v>1463000</v>
      </c>
      <c r="E48" s="152">
        <v>1463000</v>
      </c>
      <c r="F48" s="152">
        <v>0</v>
      </c>
      <c r="G48" s="152">
        <v>1463000</v>
      </c>
      <c r="H48" s="152">
        <v>1463000</v>
      </c>
      <c r="I48" s="152">
        <v>1463000</v>
      </c>
      <c r="J48" s="152">
        <v>1463000</v>
      </c>
      <c r="K48" s="152">
        <v>1463000</v>
      </c>
      <c r="L48" s="152">
        <v>1463000</v>
      </c>
      <c r="M48" s="150" t="s">
        <v>252</v>
      </c>
      <c r="N48" s="154">
        <v>1</v>
      </c>
      <c r="O48" s="156">
        <v>7</v>
      </c>
      <c r="P48" s="151" t="s">
        <v>253</v>
      </c>
      <c r="Q48" s="154">
        <v>0</v>
      </c>
      <c r="R48" s="156">
        <v>0</v>
      </c>
      <c r="S48" s="151" t="s">
        <v>83</v>
      </c>
      <c r="T48" s="150" t="s">
        <v>264</v>
      </c>
      <c r="U48" s="150" t="s">
        <v>275</v>
      </c>
      <c r="V48" s="151" t="s">
        <v>432</v>
      </c>
      <c r="W48" s="151"/>
      <c r="X48" s="159">
        <v>44771</v>
      </c>
      <c r="Y48" s="151">
        <v>2022</v>
      </c>
      <c r="Z48" s="151">
        <v>7</v>
      </c>
      <c r="AA48" s="151">
        <v>29</v>
      </c>
    </row>
    <row r="49" spans="1:27" x14ac:dyDescent="0.55000000000000004">
      <c r="A49" s="151">
        <v>52</v>
      </c>
      <c r="B49" s="150"/>
      <c r="C49" s="152">
        <v>1540000</v>
      </c>
      <c r="D49" s="152">
        <v>1540000</v>
      </c>
      <c r="E49" s="152">
        <v>1540000</v>
      </c>
      <c r="F49" s="152">
        <v>0</v>
      </c>
      <c r="G49" s="152">
        <v>1540000</v>
      </c>
      <c r="H49" s="152">
        <v>1540000</v>
      </c>
      <c r="I49" s="152">
        <v>1540000</v>
      </c>
      <c r="J49" s="152">
        <v>1540000</v>
      </c>
      <c r="K49" s="152">
        <v>1540000</v>
      </c>
      <c r="L49" s="152">
        <v>1540000</v>
      </c>
      <c r="M49" s="150" t="s">
        <v>252</v>
      </c>
      <c r="N49" s="154">
        <v>1</v>
      </c>
      <c r="O49" s="156">
        <v>10</v>
      </c>
      <c r="P49" s="151" t="s">
        <v>253</v>
      </c>
      <c r="Q49" s="154">
        <v>0</v>
      </c>
      <c r="R49" s="156">
        <v>0</v>
      </c>
      <c r="S49" s="151" t="s">
        <v>83</v>
      </c>
      <c r="T49" s="150" t="s">
        <v>266</v>
      </c>
      <c r="U49" s="150" t="s">
        <v>310</v>
      </c>
      <c r="V49" s="151" t="s">
        <v>432</v>
      </c>
      <c r="W49" s="151"/>
      <c r="X49" s="159">
        <v>44771</v>
      </c>
      <c r="Y49" s="151">
        <v>2022</v>
      </c>
      <c r="Z49" s="151">
        <v>7</v>
      </c>
      <c r="AA49" s="151">
        <v>29</v>
      </c>
    </row>
    <row r="50" spans="1:27" x14ac:dyDescent="0.55000000000000004">
      <c r="A50" s="151">
        <v>53</v>
      </c>
      <c r="B50" s="150"/>
      <c r="C50" s="152">
        <v>2921000</v>
      </c>
      <c r="D50" s="152">
        <v>2921000</v>
      </c>
      <c r="E50" s="152">
        <v>2921600</v>
      </c>
      <c r="F50" s="152">
        <v>0</v>
      </c>
      <c r="G50" s="152">
        <v>2921600</v>
      </c>
      <c r="H50" s="152">
        <v>2921600</v>
      </c>
      <c r="I50" s="152">
        <v>2921600</v>
      </c>
      <c r="J50" s="152">
        <v>2921600</v>
      </c>
      <c r="K50" s="152">
        <v>2921600</v>
      </c>
      <c r="L50" s="152">
        <v>2921000</v>
      </c>
      <c r="M50" s="150" t="s">
        <v>252</v>
      </c>
      <c r="N50" s="154">
        <v>2</v>
      </c>
      <c r="O50" s="156">
        <v>64</v>
      </c>
      <c r="P50" s="151" t="s">
        <v>253</v>
      </c>
      <c r="Q50" s="154">
        <v>0</v>
      </c>
      <c r="R50" s="156">
        <v>0</v>
      </c>
      <c r="S50" s="151" t="s">
        <v>83</v>
      </c>
      <c r="T50" s="150" t="s">
        <v>311</v>
      </c>
      <c r="U50" s="150" t="s">
        <v>286</v>
      </c>
      <c r="V50" s="151" t="s">
        <v>432</v>
      </c>
      <c r="W50" s="151"/>
      <c r="X50" s="159">
        <v>44771</v>
      </c>
      <c r="Y50" s="151">
        <v>2022</v>
      </c>
      <c r="Z50" s="151">
        <v>7</v>
      </c>
      <c r="AA50" s="151">
        <v>29</v>
      </c>
    </row>
    <row r="51" spans="1:27" x14ac:dyDescent="0.55000000000000004">
      <c r="A51" s="151">
        <v>55</v>
      </c>
      <c r="B51" s="150"/>
      <c r="C51" s="152">
        <v>1078000</v>
      </c>
      <c r="D51" s="152">
        <v>1078000</v>
      </c>
      <c r="E51" s="152">
        <v>1078000</v>
      </c>
      <c r="F51" s="152">
        <v>0</v>
      </c>
      <c r="G51" s="152">
        <v>1078000</v>
      </c>
      <c r="H51" s="152">
        <v>1078000</v>
      </c>
      <c r="I51" s="152">
        <v>1078000</v>
      </c>
      <c r="J51" s="152">
        <v>1078000</v>
      </c>
      <c r="K51" s="152">
        <v>1078000</v>
      </c>
      <c r="L51" s="152">
        <v>1078000</v>
      </c>
      <c r="M51" s="150" t="s">
        <v>252</v>
      </c>
      <c r="N51" s="154">
        <v>1</v>
      </c>
      <c r="O51" s="156">
        <v>15</v>
      </c>
      <c r="P51" s="151" t="s">
        <v>253</v>
      </c>
      <c r="Q51" s="154">
        <v>0</v>
      </c>
      <c r="R51" s="156">
        <v>0</v>
      </c>
      <c r="S51" s="151" t="s">
        <v>83</v>
      </c>
      <c r="T51" s="150" t="s">
        <v>262</v>
      </c>
      <c r="U51" s="150" t="s">
        <v>263</v>
      </c>
      <c r="V51" s="151" t="s">
        <v>432</v>
      </c>
      <c r="W51" s="151"/>
      <c r="X51" s="159">
        <v>44771</v>
      </c>
      <c r="Y51" s="151">
        <v>2022</v>
      </c>
      <c r="Z51" s="151">
        <v>7</v>
      </c>
      <c r="AA51" s="151">
        <v>29</v>
      </c>
    </row>
    <row r="52" spans="1:27" x14ac:dyDescent="0.55000000000000004">
      <c r="A52" s="151">
        <v>57</v>
      </c>
      <c r="B52" s="150"/>
      <c r="C52" s="152">
        <v>1540000</v>
      </c>
      <c r="D52" s="152">
        <v>1540000</v>
      </c>
      <c r="E52" s="152">
        <v>1540000</v>
      </c>
      <c r="F52" s="152">
        <v>0</v>
      </c>
      <c r="G52" s="152">
        <v>1540000</v>
      </c>
      <c r="H52" s="152">
        <v>1540000</v>
      </c>
      <c r="I52" s="152">
        <v>1540000</v>
      </c>
      <c r="J52" s="152">
        <v>1540000</v>
      </c>
      <c r="K52" s="152">
        <v>1540000</v>
      </c>
      <c r="L52" s="152">
        <v>1540000</v>
      </c>
      <c r="M52" s="150" t="s">
        <v>252</v>
      </c>
      <c r="N52" s="154">
        <v>1</v>
      </c>
      <c r="O52" s="156">
        <v>5</v>
      </c>
      <c r="P52" s="151" t="s">
        <v>253</v>
      </c>
      <c r="Q52" s="154">
        <v>0</v>
      </c>
      <c r="R52" s="156">
        <v>0</v>
      </c>
      <c r="S52" s="151" t="s">
        <v>83</v>
      </c>
      <c r="T52" s="150" t="s">
        <v>254</v>
      </c>
      <c r="U52" s="150" t="s">
        <v>293</v>
      </c>
      <c r="V52" s="151" t="s">
        <v>432</v>
      </c>
      <c r="W52" s="151"/>
      <c r="X52" s="159">
        <v>44771</v>
      </c>
      <c r="Y52" s="151">
        <v>2022</v>
      </c>
      <c r="Z52" s="151">
        <v>7</v>
      </c>
      <c r="AA52" s="151">
        <v>29</v>
      </c>
    </row>
    <row r="53" spans="1:27" x14ac:dyDescent="0.55000000000000004">
      <c r="A53" s="151">
        <v>58</v>
      </c>
      <c r="B53" s="150"/>
      <c r="C53" s="152">
        <v>1166000</v>
      </c>
      <c r="D53" s="152">
        <v>1166000</v>
      </c>
      <c r="E53" s="152">
        <v>1166550</v>
      </c>
      <c r="F53" s="152">
        <v>0</v>
      </c>
      <c r="G53" s="152">
        <v>1166550</v>
      </c>
      <c r="H53" s="152">
        <v>1166550</v>
      </c>
      <c r="I53" s="152">
        <v>1166550</v>
      </c>
      <c r="J53" s="152">
        <v>1166550</v>
      </c>
      <c r="K53" s="152">
        <v>1166550</v>
      </c>
      <c r="L53" s="152">
        <v>1166000</v>
      </c>
      <c r="M53" s="150" t="s">
        <v>269</v>
      </c>
      <c r="N53" s="154">
        <v>1</v>
      </c>
      <c r="O53" s="156">
        <v>8</v>
      </c>
      <c r="P53" s="151" t="s">
        <v>253</v>
      </c>
      <c r="Q53" s="154">
        <v>0</v>
      </c>
      <c r="R53" s="156">
        <v>0</v>
      </c>
      <c r="S53" s="151" t="s">
        <v>83</v>
      </c>
      <c r="T53" s="150" t="s">
        <v>256</v>
      </c>
      <c r="U53" s="150" t="s">
        <v>312</v>
      </c>
      <c r="V53" s="151" t="s">
        <v>432</v>
      </c>
      <c r="W53" s="151"/>
      <c r="X53" s="159">
        <v>44771</v>
      </c>
      <c r="Y53" s="151">
        <v>2022</v>
      </c>
      <c r="Z53" s="151">
        <v>7</v>
      </c>
      <c r="AA53" s="151">
        <v>29</v>
      </c>
    </row>
    <row r="54" spans="1:27" x14ac:dyDescent="0.55000000000000004">
      <c r="A54" s="151">
        <v>59</v>
      </c>
      <c r="B54" s="150"/>
      <c r="C54" s="152">
        <v>1347000</v>
      </c>
      <c r="D54" s="152">
        <v>1347000</v>
      </c>
      <c r="E54" s="152">
        <v>1347500</v>
      </c>
      <c r="F54" s="152">
        <v>0</v>
      </c>
      <c r="G54" s="152">
        <v>1347500</v>
      </c>
      <c r="H54" s="152">
        <v>1347500</v>
      </c>
      <c r="I54" s="152">
        <v>1347500</v>
      </c>
      <c r="J54" s="152">
        <v>1347500</v>
      </c>
      <c r="K54" s="152">
        <v>1347500</v>
      </c>
      <c r="L54" s="152">
        <v>1347000</v>
      </c>
      <c r="M54" s="150" t="s">
        <v>252</v>
      </c>
      <c r="N54" s="154">
        <v>1</v>
      </c>
      <c r="O54" s="156">
        <v>10</v>
      </c>
      <c r="P54" s="151" t="s">
        <v>253</v>
      </c>
      <c r="Q54" s="154">
        <v>0</v>
      </c>
      <c r="R54" s="156">
        <v>0</v>
      </c>
      <c r="S54" s="151" t="s">
        <v>83</v>
      </c>
      <c r="T54" s="150" t="s">
        <v>274</v>
      </c>
      <c r="U54" s="150" t="s">
        <v>313</v>
      </c>
      <c r="V54" s="151" t="s">
        <v>432</v>
      </c>
      <c r="W54" s="151"/>
      <c r="X54" s="159">
        <v>44771</v>
      </c>
      <c r="Y54" s="151">
        <v>2022</v>
      </c>
      <c r="Z54" s="151">
        <v>7</v>
      </c>
      <c r="AA54" s="151">
        <v>29</v>
      </c>
    </row>
    <row r="55" spans="1:27" x14ac:dyDescent="0.55000000000000004">
      <c r="A55" s="151">
        <v>60</v>
      </c>
      <c r="B55" s="150"/>
      <c r="C55" s="152">
        <v>1523000</v>
      </c>
      <c r="D55" s="152">
        <v>1523000</v>
      </c>
      <c r="E55" s="152">
        <v>1523500</v>
      </c>
      <c r="F55" s="152">
        <v>0</v>
      </c>
      <c r="G55" s="152">
        <v>1523500</v>
      </c>
      <c r="H55" s="152">
        <v>1523500</v>
      </c>
      <c r="I55" s="152">
        <v>1523500</v>
      </c>
      <c r="J55" s="152">
        <v>1523500</v>
      </c>
      <c r="K55" s="152">
        <v>1523500</v>
      </c>
      <c r="L55" s="152">
        <v>1523000</v>
      </c>
      <c r="M55" s="150" t="s">
        <v>252</v>
      </c>
      <c r="N55" s="154">
        <v>1</v>
      </c>
      <c r="O55" s="156">
        <v>10</v>
      </c>
      <c r="P55" s="151" t="s">
        <v>253</v>
      </c>
      <c r="Q55" s="154">
        <v>0</v>
      </c>
      <c r="R55" s="156">
        <v>0</v>
      </c>
      <c r="S55" s="151" t="s">
        <v>83</v>
      </c>
      <c r="T55" s="150" t="s">
        <v>254</v>
      </c>
      <c r="U55" s="150" t="s">
        <v>284</v>
      </c>
      <c r="V55" s="151" t="s">
        <v>432</v>
      </c>
      <c r="W55" s="151"/>
      <c r="X55" s="159">
        <v>44771</v>
      </c>
      <c r="Y55" s="151">
        <v>2022</v>
      </c>
      <c r="Z55" s="151">
        <v>7</v>
      </c>
      <c r="AA55" s="151">
        <v>29</v>
      </c>
    </row>
    <row r="56" spans="1:27" x14ac:dyDescent="0.55000000000000004">
      <c r="A56" s="151">
        <v>61</v>
      </c>
      <c r="B56" s="150"/>
      <c r="C56" s="152">
        <v>1478000</v>
      </c>
      <c r="D56" s="152">
        <v>1478000</v>
      </c>
      <c r="E56" s="152">
        <v>1478510</v>
      </c>
      <c r="F56" s="152">
        <v>0</v>
      </c>
      <c r="G56" s="152">
        <v>1478510</v>
      </c>
      <c r="H56" s="152">
        <v>1478510</v>
      </c>
      <c r="I56" s="152">
        <v>1478510</v>
      </c>
      <c r="J56" s="152">
        <v>1478510</v>
      </c>
      <c r="K56" s="152">
        <v>1478510</v>
      </c>
      <c r="L56" s="152">
        <v>1478000</v>
      </c>
      <c r="M56" s="150" t="s">
        <v>252</v>
      </c>
      <c r="N56" s="154">
        <v>1</v>
      </c>
      <c r="O56" s="156">
        <v>5</v>
      </c>
      <c r="P56" s="151" t="s">
        <v>253</v>
      </c>
      <c r="Q56" s="154">
        <v>0</v>
      </c>
      <c r="R56" s="156">
        <v>0</v>
      </c>
      <c r="S56" s="151" t="s">
        <v>83</v>
      </c>
      <c r="T56" s="150" t="s">
        <v>260</v>
      </c>
      <c r="U56" s="150" t="s">
        <v>314</v>
      </c>
      <c r="V56" s="151" t="s">
        <v>432</v>
      </c>
      <c r="W56" s="151"/>
      <c r="X56" s="159">
        <v>44771</v>
      </c>
      <c r="Y56" s="151">
        <v>2022</v>
      </c>
      <c r="Z56" s="151">
        <v>7</v>
      </c>
      <c r="AA56" s="151">
        <v>29</v>
      </c>
    </row>
    <row r="57" spans="1:27" x14ac:dyDescent="0.55000000000000004">
      <c r="A57" s="151">
        <v>62</v>
      </c>
      <c r="B57" s="150"/>
      <c r="C57" s="152">
        <v>1463000</v>
      </c>
      <c r="D57" s="152">
        <v>1463000</v>
      </c>
      <c r="E57" s="152">
        <v>1463688</v>
      </c>
      <c r="F57" s="152">
        <v>0</v>
      </c>
      <c r="G57" s="152">
        <v>1463688</v>
      </c>
      <c r="H57" s="152">
        <v>1463688</v>
      </c>
      <c r="I57" s="152">
        <v>1463688</v>
      </c>
      <c r="J57" s="152">
        <v>1463688</v>
      </c>
      <c r="K57" s="152">
        <v>1463688</v>
      </c>
      <c r="L57" s="152">
        <v>1463000</v>
      </c>
      <c r="M57" s="150" t="s">
        <v>252</v>
      </c>
      <c r="N57" s="154">
        <v>1</v>
      </c>
      <c r="O57" s="156">
        <v>20</v>
      </c>
      <c r="P57" s="151" t="s">
        <v>253</v>
      </c>
      <c r="Q57" s="154">
        <v>0</v>
      </c>
      <c r="R57" s="156">
        <v>0</v>
      </c>
      <c r="S57" s="151" t="s">
        <v>83</v>
      </c>
      <c r="T57" s="150" t="s">
        <v>283</v>
      </c>
      <c r="U57" s="150" t="s">
        <v>315</v>
      </c>
      <c r="V57" s="151" t="s">
        <v>432</v>
      </c>
      <c r="W57" s="151"/>
      <c r="X57" s="159">
        <v>44771</v>
      </c>
      <c r="Y57" s="151">
        <v>2022</v>
      </c>
      <c r="Z57" s="151">
        <v>7</v>
      </c>
      <c r="AA57" s="151">
        <v>29</v>
      </c>
    </row>
    <row r="58" spans="1:27" x14ac:dyDescent="0.55000000000000004">
      <c r="A58" s="151">
        <v>63</v>
      </c>
      <c r="B58" s="150"/>
      <c r="C58" s="152">
        <v>1485000</v>
      </c>
      <c r="D58" s="152">
        <v>1485000</v>
      </c>
      <c r="E58" s="152">
        <v>1485000</v>
      </c>
      <c r="F58" s="152">
        <v>0</v>
      </c>
      <c r="G58" s="152">
        <v>1485000</v>
      </c>
      <c r="H58" s="152">
        <v>1485000</v>
      </c>
      <c r="I58" s="152">
        <v>1485000</v>
      </c>
      <c r="J58" s="152">
        <v>1485000</v>
      </c>
      <c r="K58" s="152">
        <v>1485000</v>
      </c>
      <c r="L58" s="152">
        <v>1485000</v>
      </c>
      <c r="M58" s="150" t="s">
        <v>252</v>
      </c>
      <c r="N58" s="154">
        <v>1</v>
      </c>
      <c r="O58" s="156">
        <v>4</v>
      </c>
      <c r="P58" s="151" t="s">
        <v>253</v>
      </c>
      <c r="Q58" s="154">
        <v>0</v>
      </c>
      <c r="R58" s="156">
        <v>0</v>
      </c>
      <c r="S58" s="151" t="s">
        <v>83</v>
      </c>
      <c r="T58" s="150" t="s">
        <v>276</v>
      </c>
      <c r="U58" s="150" t="s">
        <v>255</v>
      </c>
      <c r="V58" s="151" t="s">
        <v>432</v>
      </c>
      <c r="W58" s="151"/>
      <c r="X58" s="159">
        <v>44771</v>
      </c>
      <c r="Y58" s="151">
        <v>2022</v>
      </c>
      <c r="Z58" s="151">
        <v>7</v>
      </c>
      <c r="AA58" s="151">
        <v>29</v>
      </c>
    </row>
    <row r="59" spans="1:27" x14ac:dyDescent="0.55000000000000004">
      <c r="A59" s="151">
        <v>64</v>
      </c>
      <c r="B59" s="150"/>
      <c r="C59" s="152">
        <v>1430000</v>
      </c>
      <c r="D59" s="152">
        <v>1430000</v>
      </c>
      <c r="E59" s="152">
        <v>1430000</v>
      </c>
      <c r="F59" s="152">
        <v>0</v>
      </c>
      <c r="G59" s="152">
        <v>1430000</v>
      </c>
      <c r="H59" s="152">
        <v>1430000</v>
      </c>
      <c r="I59" s="152">
        <v>1430000</v>
      </c>
      <c r="J59" s="152">
        <v>1430000</v>
      </c>
      <c r="K59" s="152">
        <v>1430000</v>
      </c>
      <c r="L59" s="152">
        <v>1430000</v>
      </c>
      <c r="M59" s="150" t="s">
        <v>252</v>
      </c>
      <c r="N59" s="154">
        <v>1</v>
      </c>
      <c r="O59" s="156">
        <v>7</v>
      </c>
      <c r="P59" s="151" t="s">
        <v>253</v>
      </c>
      <c r="Q59" s="154">
        <v>0</v>
      </c>
      <c r="R59" s="156">
        <v>0</v>
      </c>
      <c r="S59" s="151" t="s">
        <v>83</v>
      </c>
      <c r="T59" s="150" t="s">
        <v>264</v>
      </c>
      <c r="U59" s="150" t="s">
        <v>289</v>
      </c>
      <c r="V59" s="151" t="s">
        <v>432</v>
      </c>
      <c r="W59" s="151"/>
      <c r="X59" s="159">
        <v>44771</v>
      </c>
      <c r="Y59" s="151">
        <v>2022</v>
      </c>
      <c r="Z59" s="151">
        <v>7</v>
      </c>
      <c r="AA59" s="151">
        <v>29</v>
      </c>
    </row>
    <row r="60" spans="1:27" x14ac:dyDescent="0.55000000000000004">
      <c r="A60" s="151">
        <v>65</v>
      </c>
      <c r="B60" s="150"/>
      <c r="C60" s="152">
        <v>1570000</v>
      </c>
      <c r="D60" s="152">
        <v>1570000</v>
      </c>
      <c r="E60" s="152">
        <v>1570625</v>
      </c>
      <c r="F60" s="152">
        <v>0</v>
      </c>
      <c r="G60" s="152">
        <v>1570625</v>
      </c>
      <c r="H60" s="152">
        <v>1570625</v>
      </c>
      <c r="I60" s="152">
        <v>1570625</v>
      </c>
      <c r="J60" s="152">
        <v>1570625</v>
      </c>
      <c r="K60" s="152">
        <v>1570625</v>
      </c>
      <c r="L60" s="152">
        <v>1570000</v>
      </c>
      <c r="M60" s="150" t="s">
        <v>252</v>
      </c>
      <c r="N60" s="154">
        <v>1</v>
      </c>
      <c r="O60" s="156">
        <v>24</v>
      </c>
      <c r="P60" s="151" t="s">
        <v>253</v>
      </c>
      <c r="Q60" s="154">
        <v>0</v>
      </c>
      <c r="R60" s="156">
        <v>0</v>
      </c>
      <c r="S60" s="151" t="s">
        <v>83</v>
      </c>
      <c r="T60" s="150" t="s">
        <v>266</v>
      </c>
      <c r="U60" s="150" t="s">
        <v>316</v>
      </c>
      <c r="V60" s="151" t="s">
        <v>432</v>
      </c>
      <c r="W60" s="151"/>
      <c r="X60" s="159">
        <v>44771</v>
      </c>
      <c r="Y60" s="151">
        <v>2022</v>
      </c>
      <c r="Z60" s="151">
        <v>7</v>
      </c>
      <c r="AA60" s="151">
        <v>29</v>
      </c>
    </row>
    <row r="61" spans="1:27" x14ac:dyDescent="0.55000000000000004">
      <c r="A61" s="151">
        <v>66</v>
      </c>
      <c r="B61" s="150"/>
      <c r="C61" s="152">
        <v>1474000</v>
      </c>
      <c r="D61" s="152">
        <v>1474000</v>
      </c>
      <c r="E61" s="152">
        <v>1474000</v>
      </c>
      <c r="F61" s="152">
        <v>0</v>
      </c>
      <c r="G61" s="152">
        <v>1474000</v>
      </c>
      <c r="H61" s="152">
        <v>1474000</v>
      </c>
      <c r="I61" s="152">
        <v>1474000</v>
      </c>
      <c r="J61" s="152">
        <v>1474000</v>
      </c>
      <c r="K61" s="152">
        <v>1474000</v>
      </c>
      <c r="L61" s="152">
        <v>1474000</v>
      </c>
      <c r="M61" s="150" t="s">
        <v>252</v>
      </c>
      <c r="N61" s="154">
        <v>1</v>
      </c>
      <c r="O61" s="156">
        <v>18</v>
      </c>
      <c r="P61" s="151" t="s">
        <v>253</v>
      </c>
      <c r="Q61" s="154">
        <v>0</v>
      </c>
      <c r="R61" s="156">
        <v>0</v>
      </c>
      <c r="S61" s="151" t="s">
        <v>83</v>
      </c>
      <c r="T61" s="150" t="s">
        <v>266</v>
      </c>
      <c r="U61" s="150" t="s">
        <v>317</v>
      </c>
      <c r="V61" s="151" t="s">
        <v>432</v>
      </c>
      <c r="W61" s="151"/>
      <c r="X61" s="159">
        <v>44771</v>
      </c>
      <c r="Y61" s="151">
        <v>2022</v>
      </c>
      <c r="Z61" s="151">
        <v>7</v>
      </c>
      <c r="AA61" s="151">
        <v>29</v>
      </c>
    </row>
    <row r="62" spans="1:27" x14ac:dyDescent="0.55000000000000004">
      <c r="A62" s="151">
        <v>67</v>
      </c>
      <c r="B62" s="150"/>
      <c r="C62" s="152">
        <v>1463000</v>
      </c>
      <c r="D62" s="152">
        <v>1463000</v>
      </c>
      <c r="E62" s="152">
        <v>1463688</v>
      </c>
      <c r="F62" s="152">
        <v>0</v>
      </c>
      <c r="G62" s="152">
        <v>1463688</v>
      </c>
      <c r="H62" s="152">
        <v>1463688</v>
      </c>
      <c r="I62" s="152">
        <v>1463688</v>
      </c>
      <c r="J62" s="152">
        <v>1463688</v>
      </c>
      <c r="K62" s="152">
        <v>1463688</v>
      </c>
      <c r="L62" s="152">
        <v>1463000</v>
      </c>
      <c r="M62" s="150" t="s">
        <v>252</v>
      </c>
      <c r="N62" s="154">
        <v>1</v>
      </c>
      <c r="O62" s="156">
        <v>12</v>
      </c>
      <c r="P62" s="151" t="s">
        <v>253</v>
      </c>
      <c r="Q62" s="154">
        <v>0</v>
      </c>
      <c r="R62" s="156">
        <v>0</v>
      </c>
      <c r="S62" s="151" t="s">
        <v>83</v>
      </c>
      <c r="T62" s="150" t="s">
        <v>318</v>
      </c>
      <c r="U62" s="150" t="s">
        <v>319</v>
      </c>
      <c r="V62" s="151" t="s">
        <v>432</v>
      </c>
      <c r="W62" s="151"/>
      <c r="X62" s="159">
        <v>44771</v>
      </c>
      <c r="Y62" s="151">
        <v>2022</v>
      </c>
      <c r="Z62" s="151">
        <v>7</v>
      </c>
      <c r="AA62" s="151">
        <v>29</v>
      </c>
    </row>
    <row r="63" spans="1:27" x14ac:dyDescent="0.55000000000000004">
      <c r="A63" s="151">
        <v>68</v>
      </c>
      <c r="B63" s="150"/>
      <c r="C63" s="152">
        <v>1500000</v>
      </c>
      <c r="D63" s="152">
        <v>1500000</v>
      </c>
      <c r="E63" s="152">
        <v>1500000</v>
      </c>
      <c r="F63" s="152">
        <v>0</v>
      </c>
      <c r="G63" s="152">
        <v>1500000</v>
      </c>
      <c r="H63" s="152">
        <v>1500000</v>
      </c>
      <c r="I63" s="152">
        <v>1500000</v>
      </c>
      <c r="J63" s="152">
        <v>1500000</v>
      </c>
      <c r="K63" s="152">
        <v>1500000</v>
      </c>
      <c r="L63" s="152">
        <v>1500000</v>
      </c>
      <c r="M63" s="150" t="s">
        <v>252</v>
      </c>
      <c r="N63" s="154">
        <v>1</v>
      </c>
      <c r="O63" s="156">
        <v>8</v>
      </c>
      <c r="P63" s="151" t="s">
        <v>253</v>
      </c>
      <c r="Q63" s="154">
        <v>0</v>
      </c>
      <c r="R63" s="156">
        <v>0</v>
      </c>
      <c r="S63" s="151" t="s">
        <v>83</v>
      </c>
      <c r="T63" s="150" t="s">
        <v>260</v>
      </c>
      <c r="U63" s="150" t="s">
        <v>320</v>
      </c>
      <c r="V63" s="151" t="s">
        <v>432</v>
      </c>
      <c r="W63" s="151"/>
      <c r="X63" s="159">
        <v>44771</v>
      </c>
      <c r="Y63" s="151">
        <v>2022</v>
      </c>
      <c r="Z63" s="151">
        <v>7</v>
      </c>
      <c r="AA63" s="151">
        <v>29</v>
      </c>
    </row>
    <row r="64" spans="1:27" x14ac:dyDescent="0.55000000000000004">
      <c r="A64" s="151">
        <v>69</v>
      </c>
      <c r="B64" s="150"/>
      <c r="C64" s="152">
        <v>1430000</v>
      </c>
      <c r="D64" s="152">
        <v>1430000</v>
      </c>
      <c r="E64" s="152">
        <v>1430000</v>
      </c>
      <c r="F64" s="152">
        <v>0</v>
      </c>
      <c r="G64" s="152">
        <v>1430000</v>
      </c>
      <c r="H64" s="152">
        <v>1430000</v>
      </c>
      <c r="I64" s="152">
        <v>1430000</v>
      </c>
      <c r="J64" s="152">
        <v>1430000</v>
      </c>
      <c r="K64" s="152">
        <v>1430000</v>
      </c>
      <c r="L64" s="152">
        <v>1430000</v>
      </c>
      <c r="M64" s="150" t="s">
        <v>252</v>
      </c>
      <c r="N64" s="154">
        <v>1</v>
      </c>
      <c r="O64" s="156">
        <v>20</v>
      </c>
      <c r="P64" s="151" t="s">
        <v>253</v>
      </c>
      <c r="Q64" s="154">
        <v>0</v>
      </c>
      <c r="R64" s="156">
        <v>0</v>
      </c>
      <c r="S64" s="151" t="s">
        <v>83</v>
      </c>
      <c r="T64" s="150" t="s">
        <v>276</v>
      </c>
      <c r="U64" s="150" t="s">
        <v>309</v>
      </c>
      <c r="V64" s="151" t="s">
        <v>432</v>
      </c>
      <c r="W64" s="151"/>
      <c r="X64" s="159">
        <v>44771</v>
      </c>
      <c r="Y64" s="151">
        <v>2022</v>
      </c>
      <c r="Z64" s="151">
        <v>7</v>
      </c>
      <c r="AA64" s="151">
        <v>29</v>
      </c>
    </row>
    <row r="65" spans="1:27" x14ac:dyDescent="0.55000000000000004">
      <c r="A65" s="151">
        <v>70</v>
      </c>
      <c r="B65" s="150"/>
      <c r="C65" s="152">
        <v>1353000</v>
      </c>
      <c r="D65" s="152">
        <v>1353000</v>
      </c>
      <c r="E65" s="152">
        <v>1353000</v>
      </c>
      <c r="F65" s="152">
        <v>0</v>
      </c>
      <c r="G65" s="152">
        <v>1353000</v>
      </c>
      <c r="H65" s="152">
        <v>1353000</v>
      </c>
      <c r="I65" s="152">
        <v>1353000</v>
      </c>
      <c r="J65" s="152">
        <v>1353000</v>
      </c>
      <c r="K65" s="152">
        <v>1353000</v>
      </c>
      <c r="L65" s="152">
        <v>1353000</v>
      </c>
      <c r="M65" s="150" t="s">
        <v>252</v>
      </c>
      <c r="N65" s="154">
        <v>1</v>
      </c>
      <c r="O65" s="156">
        <v>12</v>
      </c>
      <c r="P65" s="151" t="s">
        <v>253</v>
      </c>
      <c r="Q65" s="154">
        <v>0</v>
      </c>
      <c r="R65" s="156">
        <v>0</v>
      </c>
      <c r="S65" s="151" t="s">
        <v>83</v>
      </c>
      <c r="T65" s="150" t="s">
        <v>321</v>
      </c>
      <c r="U65" s="150" t="s">
        <v>322</v>
      </c>
      <c r="V65" s="151" t="s">
        <v>432</v>
      </c>
      <c r="W65" s="151"/>
      <c r="X65" s="159">
        <v>44771</v>
      </c>
      <c r="Y65" s="151">
        <v>2022</v>
      </c>
      <c r="Z65" s="151">
        <v>7</v>
      </c>
      <c r="AA65" s="151">
        <v>29</v>
      </c>
    </row>
    <row r="66" spans="1:27" x14ac:dyDescent="0.55000000000000004">
      <c r="A66" s="151">
        <v>71</v>
      </c>
      <c r="B66" s="150"/>
      <c r="C66" s="152">
        <v>1089000</v>
      </c>
      <c r="D66" s="152">
        <v>1089000</v>
      </c>
      <c r="E66" s="152">
        <v>1089000</v>
      </c>
      <c r="F66" s="152">
        <v>0</v>
      </c>
      <c r="G66" s="152">
        <v>1089000</v>
      </c>
      <c r="H66" s="152">
        <v>1089000</v>
      </c>
      <c r="I66" s="152">
        <v>1089000</v>
      </c>
      <c r="J66" s="152">
        <v>1089000</v>
      </c>
      <c r="K66" s="152">
        <v>1089000</v>
      </c>
      <c r="L66" s="152">
        <v>1089000</v>
      </c>
      <c r="M66" s="150" t="s">
        <v>252</v>
      </c>
      <c r="N66" s="154">
        <v>1</v>
      </c>
      <c r="O66" s="156">
        <v>17</v>
      </c>
      <c r="P66" s="151" t="s">
        <v>253</v>
      </c>
      <c r="Q66" s="154">
        <v>0</v>
      </c>
      <c r="R66" s="156">
        <v>0</v>
      </c>
      <c r="S66" s="151" t="s">
        <v>83</v>
      </c>
      <c r="T66" s="150" t="s">
        <v>258</v>
      </c>
      <c r="U66" s="150" t="s">
        <v>277</v>
      </c>
      <c r="V66" s="151" t="s">
        <v>432</v>
      </c>
      <c r="W66" s="151"/>
      <c r="X66" s="159">
        <v>44771</v>
      </c>
      <c r="Y66" s="151">
        <v>2022</v>
      </c>
      <c r="Z66" s="151">
        <v>7</v>
      </c>
      <c r="AA66" s="151">
        <v>29</v>
      </c>
    </row>
    <row r="67" spans="1:27" x14ac:dyDescent="0.55000000000000004">
      <c r="A67" s="151">
        <v>72</v>
      </c>
      <c r="B67" s="150"/>
      <c r="C67" s="152">
        <v>979000</v>
      </c>
      <c r="D67" s="152">
        <v>979000</v>
      </c>
      <c r="E67" s="152">
        <v>979000</v>
      </c>
      <c r="F67" s="152">
        <v>0</v>
      </c>
      <c r="G67" s="152">
        <v>979000</v>
      </c>
      <c r="H67" s="152">
        <v>979000</v>
      </c>
      <c r="I67" s="152">
        <v>979000</v>
      </c>
      <c r="J67" s="152">
        <v>979000</v>
      </c>
      <c r="K67" s="152">
        <v>979000</v>
      </c>
      <c r="L67" s="152">
        <v>979000</v>
      </c>
      <c r="M67" s="150" t="s">
        <v>252</v>
      </c>
      <c r="N67" s="154">
        <v>1</v>
      </c>
      <c r="O67" s="156">
        <v>5</v>
      </c>
      <c r="P67" s="151" t="s">
        <v>253</v>
      </c>
      <c r="Q67" s="154">
        <v>0</v>
      </c>
      <c r="R67" s="156">
        <v>0</v>
      </c>
      <c r="S67" s="151" t="s">
        <v>83</v>
      </c>
      <c r="T67" s="150" t="s">
        <v>264</v>
      </c>
      <c r="U67" s="150" t="s">
        <v>323</v>
      </c>
      <c r="V67" s="151" t="s">
        <v>432</v>
      </c>
      <c r="W67" s="151"/>
      <c r="X67" s="159">
        <v>44771</v>
      </c>
      <c r="Y67" s="151">
        <v>2022</v>
      </c>
      <c r="Z67" s="151">
        <v>7</v>
      </c>
      <c r="AA67" s="151">
        <v>29</v>
      </c>
    </row>
    <row r="68" spans="1:27" x14ac:dyDescent="0.55000000000000004">
      <c r="A68" s="151">
        <v>73</v>
      </c>
      <c r="B68" s="150"/>
      <c r="C68" s="152">
        <v>1463000</v>
      </c>
      <c r="D68" s="152">
        <v>1463000</v>
      </c>
      <c r="E68" s="152">
        <v>1463688</v>
      </c>
      <c r="F68" s="152">
        <v>0</v>
      </c>
      <c r="G68" s="152">
        <v>1463688</v>
      </c>
      <c r="H68" s="152">
        <v>1463688</v>
      </c>
      <c r="I68" s="152">
        <v>1463688</v>
      </c>
      <c r="J68" s="152">
        <v>1463688</v>
      </c>
      <c r="K68" s="152">
        <v>1463688</v>
      </c>
      <c r="L68" s="152">
        <v>1463000</v>
      </c>
      <c r="M68" s="150" t="s">
        <v>252</v>
      </c>
      <c r="N68" s="154">
        <v>1</v>
      </c>
      <c r="O68" s="156">
        <v>6</v>
      </c>
      <c r="P68" s="151" t="s">
        <v>253</v>
      </c>
      <c r="Q68" s="154">
        <v>0</v>
      </c>
      <c r="R68" s="156">
        <v>0</v>
      </c>
      <c r="S68" s="151" t="s">
        <v>83</v>
      </c>
      <c r="T68" s="150" t="s">
        <v>318</v>
      </c>
      <c r="U68" s="150" t="s">
        <v>324</v>
      </c>
      <c r="V68" s="151" t="s">
        <v>432</v>
      </c>
      <c r="W68" s="151"/>
      <c r="X68" s="159">
        <v>44771</v>
      </c>
      <c r="Y68" s="151">
        <v>2022</v>
      </c>
      <c r="Z68" s="151">
        <v>7</v>
      </c>
      <c r="AA68" s="151">
        <v>29</v>
      </c>
    </row>
    <row r="69" spans="1:27" x14ac:dyDescent="0.55000000000000004">
      <c r="A69" s="151">
        <v>74</v>
      </c>
      <c r="B69" s="150"/>
      <c r="C69" s="152">
        <v>1408000</v>
      </c>
      <c r="D69" s="152">
        <v>1408000</v>
      </c>
      <c r="E69" s="152">
        <v>1408000</v>
      </c>
      <c r="F69" s="152">
        <v>0</v>
      </c>
      <c r="G69" s="152">
        <v>1408000</v>
      </c>
      <c r="H69" s="152">
        <v>1408000</v>
      </c>
      <c r="I69" s="152">
        <v>1408000</v>
      </c>
      <c r="J69" s="152">
        <v>1408000</v>
      </c>
      <c r="K69" s="152">
        <v>1408000</v>
      </c>
      <c r="L69" s="152">
        <v>1408000</v>
      </c>
      <c r="M69" s="150" t="s">
        <v>252</v>
      </c>
      <c r="N69" s="154">
        <v>1</v>
      </c>
      <c r="O69" s="156">
        <v>6</v>
      </c>
      <c r="P69" s="151" t="s">
        <v>253</v>
      </c>
      <c r="Q69" s="154">
        <v>0</v>
      </c>
      <c r="R69" s="156">
        <v>0</v>
      </c>
      <c r="S69" s="151" t="s">
        <v>83</v>
      </c>
      <c r="T69" s="150" t="s">
        <v>321</v>
      </c>
      <c r="U69" s="150" t="s">
        <v>325</v>
      </c>
      <c r="V69" s="151" t="s">
        <v>432</v>
      </c>
      <c r="W69" s="151"/>
      <c r="X69" s="159">
        <v>44771</v>
      </c>
      <c r="Y69" s="151">
        <v>2022</v>
      </c>
      <c r="Z69" s="151">
        <v>7</v>
      </c>
      <c r="AA69" s="151">
        <v>29</v>
      </c>
    </row>
    <row r="70" spans="1:27" x14ac:dyDescent="0.55000000000000004">
      <c r="A70" s="151">
        <v>77</v>
      </c>
      <c r="B70" s="150"/>
      <c r="C70" s="152">
        <v>1463000</v>
      </c>
      <c r="D70" s="152">
        <v>1463000</v>
      </c>
      <c r="E70" s="152">
        <v>1463000</v>
      </c>
      <c r="F70" s="152">
        <v>0</v>
      </c>
      <c r="G70" s="152">
        <v>1463000</v>
      </c>
      <c r="H70" s="152">
        <v>1463000</v>
      </c>
      <c r="I70" s="152">
        <v>1463000</v>
      </c>
      <c r="J70" s="152">
        <v>1463000</v>
      </c>
      <c r="K70" s="152">
        <v>1463000</v>
      </c>
      <c r="L70" s="152">
        <v>1463000</v>
      </c>
      <c r="M70" s="150" t="s">
        <v>252</v>
      </c>
      <c r="N70" s="154">
        <v>1</v>
      </c>
      <c r="O70" s="156">
        <v>10</v>
      </c>
      <c r="P70" s="151" t="s">
        <v>253</v>
      </c>
      <c r="Q70" s="154">
        <v>0</v>
      </c>
      <c r="R70" s="156">
        <v>0</v>
      </c>
      <c r="S70" s="151" t="s">
        <v>83</v>
      </c>
      <c r="T70" s="150" t="s">
        <v>283</v>
      </c>
      <c r="U70" s="150" t="s">
        <v>326</v>
      </c>
      <c r="V70" s="151" t="s">
        <v>432</v>
      </c>
      <c r="W70" s="151"/>
      <c r="X70" s="159">
        <v>44771</v>
      </c>
      <c r="Y70" s="151">
        <v>2022</v>
      </c>
      <c r="Z70" s="151">
        <v>7</v>
      </c>
      <c r="AA70" s="151">
        <v>29</v>
      </c>
    </row>
    <row r="71" spans="1:27" x14ac:dyDescent="0.55000000000000004">
      <c r="A71" s="151">
        <v>78</v>
      </c>
      <c r="B71" s="150"/>
      <c r="C71" s="152">
        <v>1485000</v>
      </c>
      <c r="D71" s="152">
        <v>1485000</v>
      </c>
      <c r="E71" s="152">
        <v>1485000</v>
      </c>
      <c r="F71" s="152">
        <v>0</v>
      </c>
      <c r="G71" s="152">
        <v>1485000</v>
      </c>
      <c r="H71" s="152">
        <v>1485000</v>
      </c>
      <c r="I71" s="152">
        <v>1485000</v>
      </c>
      <c r="J71" s="152">
        <v>1485000</v>
      </c>
      <c r="K71" s="152">
        <v>1485000</v>
      </c>
      <c r="L71" s="152">
        <v>1485000</v>
      </c>
      <c r="M71" s="150" t="s">
        <v>252</v>
      </c>
      <c r="N71" s="154">
        <v>1</v>
      </c>
      <c r="O71" s="156">
        <v>15</v>
      </c>
      <c r="P71" s="151" t="s">
        <v>253</v>
      </c>
      <c r="Q71" s="154">
        <v>0</v>
      </c>
      <c r="R71" s="156">
        <v>0</v>
      </c>
      <c r="S71" s="151" t="s">
        <v>83</v>
      </c>
      <c r="T71" s="150" t="s">
        <v>266</v>
      </c>
      <c r="U71" s="150" t="s">
        <v>309</v>
      </c>
      <c r="V71" s="151" t="s">
        <v>432</v>
      </c>
      <c r="W71" s="151"/>
      <c r="X71" s="159">
        <v>44771</v>
      </c>
      <c r="Y71" s="151">
        <v>2022</v>
      </c>
      <c r="Z71" s="151">
        <v>7</v>
      </c>
      <c r="AA71" s="151">
        <v>29</v>
      </c>
    </row>
    <row r="72" spans="1:27" x14ac:dyDescent="0.55000000000000004">
      <c r="A72" s="151">
        <v>79</v>
      </c>
      <c r="B72" s="150"/>
      <c r="C72" s="152">
        <v>1557000</v>
      </c>
      <c r="D72" s="152">
        <v>1557000</v>
      </c>
      <c r="E72" s="152">
        <v>1557600</v>
      </c>
      <c r="F72" s="152">
        <v>0</v>
      </c>
      <c r="G72" s="152">
        <v>1557600</v>
      </c>
      <c r="H72" s="152">
        <v>1557600</v>
      </c>
      <c r="I72" s="152">
        <v>1557600</v>
      </c>
      <c r="J72" s="152">
        <v>1557600</v>
      </c>
      <c r="K72" s="152">
        <v>1557600</v>
      </c>
      <c r="L72" s="152">
        <v>1557000</v>
      </c>
      <c r="M72" s="150" t="s">
        <v>252</v>
      </c>
      <c r="N72" s="154">
        <v>1</v>
      </c>
      <c r="O72" s="156">
        <v>25</v>
      </c>
      <c r="P72" s="151" t="s">
        <v>253</v>
      </c>
      <c r="Q72" s="154">
        <v>0</v>
      </c>
      <c r="R72" s="156">
        <v>0</v>
      </c>
      <c r="S72" s="151" t="s">
        <v>83</v>
      </c>
      <c r="T72" s="150" t="s">
        <v>256</v>
      </c>
      <c r="U72" s="150" t="s">
        <v>327</v>
      </c>
      <c r="V72" s="151" t="s">
        <v>432</v>
      </c>
      <c r="W72" s="151"/>
      <c r="X72" s="159">
        <v>44771</v>
      </c>
      <c r="Y72" s="151">
        <v>2022</v>
      </c>
      <c r="Z72" s="151">
        <v>7</v>
      </c>
      <c r="AA72" s="151">
        <v>29</v>
      </c>
    </row>
    <row r="73" spans="1:27" x14ac:dyDescent="0.55000000000000004">
      <c r="A73" s="151">
        <v>80</v>
      </c>
      <c r="B73" s="150"/>
      <c r="C73" s="152">
        <v>1573000</v>
      </c>
      <c r="D73" s="152">
        <v>1573000</v>
      </c>
      <c r="E73" s="152">
        <v>1573000</v>
      </c>
      <c r="F73" s="152">
        <v>0</v>
      </c>
      <c r="G73" s="152">
        <v>1573000</v>
      </c>
      <c r="H73" s="152">
        <v>1573000</v>
      </c>
      <c r="I73" s="152">
        <v>1573000</v>
      </c>
      <c r="J73" s="152">
        <v>1573000</v>
      </c>
      <c r="K73" s="152">
        <v>1573000</v>
      </c>
      <c r="L73" s="152">
        <v>1573000</v>
      </c>
      <c r="M73" s="150" t="s">
        <v>252</v>
      </c>
      <c r="N73" s="154">
        <v>1</v>
      </c>
      <c r="O73" s="156">
        <v>12</v>
      </c>
      <c r="P73" s="151" t="s">
        <v>253</v>
      </c>
      <c r="Q73" s="154">
        <v>0</v>
      </c>
      <c r="R73" s="156">
        <v>0</v>
      </c>
      <c r="S73" s="151" t="s">
        <v>83</v>
      </c>
      <c r="T73" s="150" t="s">
        <v>256</v>
      </c>
      <c r="U73" s="150" t="s">
        <v>282</v>
      </c>
      <c r="V73" s="151" t="s">
        <v>432</v>
      </c>
      <c r="W73" s="151"/>
      <c r="X73" s="159">
        <v>44771</v>
      </c>
      <c r="Y73" s="151">
        <v>2022</v>
      </c>
      <c r="Z73" s="151">
        <v>7</v>
      </c>
      <c r="AA73" s="151">
        <v>29</v>
      </c>
    </row>
    <row r="74" spans="1:27" x14ac:dyDescent="0.55000000000000004">
      <c r="A74" s="151">
        <v>81</v>
      </c>
      <c r="B74" s="150"/>
      <c r="C74" s="152">
        <v>1463000</v>
      </c>
      <c r="D74" s="152">
        <v>1463000</v>
      </c>
      <c r="E74" s="152">
        <v>1463000</v>
      </c>
      <c r="F74" s="152">
        <v>0</v>
      </c>
      <c r="G74" s="152">
        <v>1463000</v>
      </c>
      <c r="H74" s="152">
        <v>1463000</v>
      </c>
      <c r="I74" s="152">
        <v>1463000</v>
      </c>
      <c r="J74" s="152">
        <v>1463000</v>
      </c>
      <c r="K74" s="152">
        <v>1463000</v>
      </c>
      <c r="L74" s="152">
        <v>1463000</v>
      </c>
      <c r="M74" s="150" t="s">
        <v>252</v>
      </c>
      <c r="N74" s="154">
        <v>1</v>
      </c>
      <c r="O74" s="156">
        <v>5</v>
      </c>
      <c r="P74" s="151" t="s">
        <v>253</v>
      </c>
      <c r="Q74" s="154">
        <v>0</v>
      </c>
      <c r="R74" s="156">
        <v>0</v>
      </c>
      <c r="S74" s="151" t="s">
        <v>83</v>
      </c>
      <c r="T74" s="150" t="s">
        <v>254</v>
      </c>
      <c r="U74" s="150" t="s">
        <v>328</v>
      </c>
      <c r="V74" s="151" t="s">
        <v>432</v>
      </c>
      <c r="W74" s="151"/>
      <c r="X74" s="159">
        <v>44771</v>
      </c>
      <c r="Y74" s="151">
        <v>2022</v>
      </c>
      <c r="Z74" s="151">
        <v>7</v>
      </c>
      <c r="AA74" s="151">
        <v>29</v>
      </c>
    </row>
    <row r="75" spans="1:27" x14ac:dyDescent="0.55000000000000004">
      <c r="A75" s="151">
        <v>82</v>
      </c>
      <c r="B75" s="150"/>
      <c r="C75" s="152">
        <v>1210000</v>
      </c>
      <c r="D75" s="152">
        <v>1210000</v>
      </c>
      <c r="E75" s="152">
        <v>1210000</v>
      </c>
      <c r="F75" s="152">
        <v>0</v>
      </c>
      <c r="G75" s="152">
        <v>1210000</v>
      </c>
      <c r="H75" s="152">
        <v>1210000</v>
      </c>
      <c r="I75" s="152">
        <v>1210000</v>
      </c>
      <c r="J75" s="152">
        <v>1210000</v>
      </c>
      <c r="K75" s="152">
        <v>1210000</v>
      </c>
      <c r="L75" s="152">
        <v>1210000</v>
      </c>
      <c r="M75" s="150" t="s">
        <v>252</v>
      </c>
      <c r="N75" s="154">
        <v>1</v>
      </c>
      <c r="O75" s="156">
        <v>20</v>
      </c>
      <c r="P75" s="151" t="s">
        <v>253</v>
      </c>
      <c r="Q75" s="154">
        <v>0</v>
      </c>
      <c r="R75" s="156">
        <v>0</v>
      </c>
      <c r="S75" s="151" t="s">
        <v>83</v>
      </c>
      <c r="T75" s="150" t="s">
        <v>276</v>
      </c>
      <c r="U75" s="150" t="s">
        <v>329</v>
      </c>
      <c r="V75" s="151" t="s">
        <v>432</v>
      </c>
      <c r="W75" s="151"/>
      <c r="X75" s="159">
        <v>44771</v>
      </c>
      <c r="Y75" s="151">
        <v>2022</v>
      </c>
      <c r="Z75" s="151">
        <v>7</v>
      </c>
      <c r="AA75" s="151">
        <v>29</v>
      </c>
    </row>
    <row r="76" spans="1:27" x14ac:dyDescent="0.55000000000000004">
      <c r="A76" s="151">
        <v>83</v>
      </c>
      <c r="B76" s="150"/>
      <c r="C76" s="152">
        <v>2860000</v>
      </c>
      <c r="D76" s="152">
        <v>2860000</v>
      </c>
      <c r="E76" s="152">
        <v>2860000</v>
      </c>
      <c r="F76" s="152">
        <v>0</v>
      </c>
      <c r="G76" s="152">
        <v>2860000</v>
      </c>
      <c r="H76" s="152">
        <v>2860000</v>
      </c>
      <c r="I76" s="152">
        <v>2860000</v>
      </c>
      <c r="J76" s="152">
        <v>2860000</v>
      </c>
      <c r="K76" s="152">
        <v>2860000</v>
      </c>
      <c r="L76" s="152">
        <v>2860000</v>
      </c>
      <c r="M76" s="150" t="s">
        <v>252</v>
      </c>
      <c r="N76" s="154">
        <v>2</v>
      </c>
      <c r="O76" s="156">
        <v>10</v>
      </c>
      <c r="P76" s="151" t="s">
        <v>253</v>
      </c>
      <c r="Q76" s="154">
        <v>0</v>
      </c>
      <c r="R76" s="156">
        <v>0</v>
      </c>
      <c r="S76" s="151" t="s">
        <v>83</v>
      </c>
      <c r="T76" s="150" t="s">
        <v>264</v>
      </c>
      <c r="U76" s="150" t="s">
        <v>330</v>
      </c>
      <c r="V76" s="151" t="s">
        <v>432</v>
      </c>
      <c r="W76" s="151"/>
      <c r="X76" s="159">
        <v>44771</v>
      </c>
      <c r="Y76" s="151">
        <v>2022</v>
      </c>
      <c r="Z76" s="151">
        <v>7</v>
      </c>
      <c r="AA76" s="151">
        <v>29</v>
      </c>
    </row>
    <row r="77" spans="1:27" x14ac:dyDescent="0.55000000000000004">
      <c r="A77" s="151">
        <v>84</v>
      </c>
      <c r="B77" s="150"/>
      <c r="C77" s="152">
        <v>440000</v>
      </c>
      <c r="D77" s="152">
        <v>440000</v>
      </c>
      <c r="E77" s="152">
        <v>440000</v>
      </c>
      <c r="F77" s="152">
        <v>0</v>
      </c>
      <c r="G77" s="152">
        <v>440000</v>
      </c>
      <c r="H77" s="152">
        <v>440000</v>
      </c>
      <c r="I77" s="152">
        <v>440000</v>
      </c>
      <c r="J77" s="152">
        <v>440000</v>
      </c>
      <c r="K77" s="152">
        <v>440000</v>
      </c>
      <c r="L77" s="152">
        <v>440000</v>
      </c>
      <c r="M77" s="150" t="s">
        <v>269</v>
      </c>
      <c r="N77" s="154">
        <v>1</v>
      </c>
      <c r="O77" s="156">
        <v>2</v>
      </c>
      <c r="P77" s="151" t="s">
        <v>253</v>
      </c>
      <c r="Q77" s="154">
        <v>0</v>
      </c>
      <c r="R77" s="156">
        <v>0</v>
      </c>
      <c r="S77" s="151" t="s">
        <v>83</v>
      </c>
      <c r="T77" s="150" t="s">
        <v>254</v>
      </c>
      <c r="U77" s="150" t="s">
        <v>331</v>
      </c>
      <c r="V77" s="151" t="s">
        <v>432</v>
      </c>
      <c r="W77" s="151"/>
      <c r="X77" s="159">
        <v>44771</v>
      </c>
      <c r="Y77" s="151">
        <v>2022</v>
      </c>
      <c r="Z77" s="151">
        <v>7</v>
      </c>
      <c r="AA77" s="151">
        <v>29</v>
      </c>
    </row>
    <row r="78" spans="1:27" x14ac:dyDescent="0.55000000000000004">
      <c r="A78" s="151">
        <v>85</v>
      </c>
      <c r="B78" s="150"/>
      <c r="C78" s="152">
        <v>1540000</v>
      </c>
      <c r="D78" s="152">
        <v>1540000</v>
      </c>
      <c r="E78" s="152">
        <v>1540000</v>
      </c>
      <c r="F78" s="152">
        <v>0</v>
      </c>
      <c r="G78" s="152">
        <v>1540000</v>
      </c>
      <c r="H78" s="152">
        <v>1540000</v>
      </c>
      <c r="I78" s="152">
        <v>1540000</v>
      </c>
      <c r="J78" s="152">
        <v>1540000</v>
      </c>
      <c r="K78" s="152">
        <v>1540000</v>
      </c>
      <c r="L78" s="152">
        <v>1540000</v>
      </c>
      <c r="M78" s="150" t="s">
        <v>252</v>
      </c>
      <c r="N78" s="154">
        <v>1</v>
      </c>
      <c r="O78" s="156">
        <v>10</v>
      </c>
      <c r="P78" s="151" t="s">
        <v>253</v>
      </c>
      <c r="Q78" s="154">
        <v>0</v>
      </c>
      <c r="R78" s="156">
        <v>0</v>
      </c>
      <c r="S78" s="151" t="s">
        <v>83</v>
      </c>
      <c r="T78" s="150" t="s">
        <v>283</v>
      </c>
      <c r="U78" s="150" t="s">
        <v>332</v>
      </c>
      <c r="V78" s="151" t="s">
        <v>432</v>
      </c>
      <c r="W78" s="151"/>
      <c r="X78" s="159">
        <v>44771</v>
      </c>
      <c r="Y78" s="151">
        <v>2022</v>
      </c>
      <c r="Z78" s="151">
        <v>7</v>
      </c>
      <c r="AA78" s="151">
        <v>29</v>
      </c>
    </row>
    <row r="79" spans="1:27" x14ac:dyDescent="0.55000000000000004">
      <c r="A79" s="151">
        <v>86</v>
      </c>
      <c r="B79" s="150"/>
      <c r="C79" s="152">
        <v>1460000</v>
      </c>
      <c r="D79" s="152">
        <v>1460000</v>
      </c>
      <c r="E79" s="152">
        <v>1460800</v>
      </c>
      <c r="F79" s="152">
        <v>0</v>
      </c>
      <c r="G79" s="152">
        <v>1460800</v>
      </c>
      <c r="H79" s="152">
        <v>1460800</v>
      </c>
      <c r="I79" s="152">
        <v>1460800</v>
      </c>
      <c r="J79" s="152">
        <v>1460800</v>
      </c>
      <c r="K79" s="152">
        <v>1460800</v>
      </c>
      <c r="L79" s="152">
        <v>1460000</v>
      </c>
      <c r="M79" s="150" t="s">
        <v>269</v>
      </c>
      <c r="N79" s="154">
        <v>1</v>
      </c>
      <c r="O79" s="156">
        <v>20</v>
      </c>
      <c r="P79" s="151" t="s">
        <v>253</v>
      </c>
      <c r="Q79" s="154">
        <v>0</v>
      </c>
      <c r="R79" s="156">
        <v>0</v>
      </c>
      <c r="S79" s="151" t="s">
        <v>83</v>
      </c>
      <c r="T79" s="150" t="s">
        <v>333</v>
      </c>
      <c r="U79" s="150" t="s">
        <v>277</v>
      </c>
      <c r="V79" s="151" t="s">
        <v>432</v>
      </c>
      <c r="W79" s="151"/>
      <c r="X79" s="159">
        <v>44771</v>
      </c>
      <c r="Y79" s="151">
        <v>2022</v>
      </c>
      <c r="Z79" s="151">
        <v>7</v>
      </c>
      <c r="AA79" s="151">
        <v>29</v>
      </c>
    </row>
    <row r="80" spans="1:27" x14ac:dyDescent="0.55000000000000004">
      <c r="A80" s="151">
        <v>87</v>
      </c>
      <c r="B80" s="150"/>
      <c r="C80" s="152">
        <v>1493000</v>
      </c>
      <c r="D80" s="152">
        <v>1493000</v>
      </c>
      <c r="E80" s="152">
        <v>1493800</v>
      </c>
      <c r="F80" s="152">
        <v>0</v>
      </c>
      <c r="G80" s="152">
        <v>1493800</v>
      </c>
      <c r="H80" s="152">
        <v>1493800</v>
      </c>
      <c r="I80" s="152">
        <v>1493800</v>
      </c>
      <c r="J80" s="152">
        <v>1493800</v>
      </c>
      <c r="K80" s="152">
        <v>1493800</v>
      </c>
      <c r="L80" s="152">
        <v>1493000</v>
      </c>
      <c r="M80" s="150" t="s">
        <v>252</v>
      </c>
      <c r="N80" s="154">
        <v>1</v>
      </c>
      <c r="O80" s="156">
        <v>15</v>
      </c>
      <c r="P80" s="151" t="s">
        <v>253</v>
      </c>
      <c r="Q80" s="154">
        <v>0</v>
      </c>
      <c r="R80" s="156">
        <v>0</v>
      </c>
      <c r="S80" s="151" t="s">
        <v>83</v>
      </c>
      <c r="T80" s="150" t="s">
        <v>334</v>
      </c>
      <c r="U80" s="150" t="s">
        <v>335</v>
      </c>
      <c r="V80" s="151" t="s">
        <v>432</v>
      </c>
      <c r="W80" s="151"/>
      <c r="X80" s="159">
        <v>44771</v>
      </c>
      <c r="Y80" s="151">
        <v>2022</v>
      </c>
      <c r="Z80" s="151">
        <v>7</v>
      </c>
      <c r="AA80" s="151">
        <v>29</v>
      </c>
    </row>
    <row r="81" spans="1:27" x14ac:dyDescent="0.55000000000000004">
      <c r="A81" s="151">
        <v>88</v>
      </c>
      <c r="B81" s="150"/>
      <c r="C81" s="152">
        <v>1463000</v>
      </c>
      <c r="D81" s="152">
        <v>1463000</v>
      </c>
      <c r="E81" s="152">
        <v>1463688</v>
      </c>
      <c r="F81" s="152">
        <v>0</v>
      </c>
      <c r="G81" s="152">
        <v>1463688</v>
      </c>
      <c r="H81" s="152">
        <v>1463688</v>
      </c>
      <c r="I81" s="152">
        <v>1463688</v>
      </c>
      <c r="J81" s="152">
        <v>1463688</v>
      </c>
      <c r="K81" s="152">
        <v>1463688</v>
      </c>
      <c r="L81" s="152">
        <v>1463000</v>
      </c>
      <c r="M81" s="150" t="s">
        <v>252</v>
      </c>
      <c r="N81" s="154">
        <v>1</v>
      </c>
      <c r="O81" s="156">
        <v>13</v>
      </c>
      <c r="P81" s="151" t="s">
        <v>253</v>
      </c>
      <c r="Q81" s="154">
        <v>0</v>
      </c>
      <c r="R81" s="156">
        <v>0</v>
      </c>
      <c r="S81" s="151" t="s">
        <v>83</v>
      </c>
      <c r="T81" s="150" t="s">
        <v>318</v>
      </c>
      <c r="U81" s="150" t="s">
        <v>336</v>
      </c>
      <c r="V81" s="151" t="s">
        <v>432</v>
      </c>
      <c r="W81" s="151"/>
      <c r="X81" s="159">
        <v>44771</v>
      </c>
      <c r="Y81" s="151">
        <v>2022</v>
      </c>
      <c r="Z81" s="151">
        <v>7</v>
      </c>
      <c r="AA81" s="151">
        <v>29</v>
      </c>
    </row>
    <row r="82" spans="1:27" x14ac:dyDescent="0.55000000000000004">
      <c r="A82" s="151">
        <v>89</v>
      </c>
      <c r="B82" s="150"/>
      <c r="C82" s="152">
        <v>1540000</v>
      </c>
      <c r="D82" s="152">
        <v>1540000</v>
      </c>
      <c r="E82" s="152">
        <v>1540000</v>
      </c>
      <c r="F82" s="152">
        <v>0</v>
      </c>
      <c r="G82" s="152">
        <v>1540000</v>
      </c>
      <c r="H82" s="152">
        <v>1540000</v>
      </c>
      <c r="I82" s="152">
        <v>1540000</v>
      </c>
      <c r="J82" s="152">
        <v>1540000</v>
      </c>
      <c r="K82" s="152">
        <v>1540000</v>
      </c>
      <c r="L82" s="152">
        <v>1540000</v>
      </c>
      <c r="M82" s="150" t="s">
        <v>252</v>
      </c>
      <c r="N82" s="154">
        <v>1</v>
      </c>
      <c r="O82" s="156">
        <v>10</v>
      </c>
      <c r="P82" s="151" t="s">
        <v>253</v>
      </c>
      <c r="Q82" s="154">
        <v>0</v>
      </c>
      <c r="R82" s="156">
        <v>0</v>
      </c>
      <c r="S82" s="151" t="s">
        <v>83</v>
      </c>
      <c r="T82" s="150" t="s">
        <v>283</v>
      </c>
      <c r="U82" s="150" t="s">
        <v>337</v>
      </c>
      <c r="V82" s="151" t="s">
        <v>432</v>
      </c>
      <c r="W82" s="151"/>
      <c r="X82" s="159">
        <v>44771</v>
      </c>
      <c r="Y82" s="151">
        <v>2022</v>
      </c>
      <c r="Z82" s="151">
        <v>7</v>
      </c>
      <c r="AA82" s="151">
        <v>29</v>
      </c>
    </row>
    <row r="83" spans="1:27" x14ac:dyDescent="0.55000000000000004">
      <c r="A83" s="151">
        <v>90</v>
      </c>
      <c r="B83" s="150"/>
      <c r="C83" s="152">
        <v>1573000</v>
      </c>
      <c r="D83" s="152">
        <v>1573000</v>
      </c>
      <c r="E83" s="152">
        <v>1573000</v>
      </c>
      <c r="F83" s="152">
        <v>0</v>
      </c>
      <c r="G83" s="152">
        <v>1573000</v>
      </c>
      <c r="H83" s="152">
        <v>1573000</v>
      </c>
      <c r="I83" s="152">
        <v>1573000</v>
      </c>
      <c r="J83" s="152">
        <v>1573000</v>
      </c>
      <c r="K83" s="152">
        <v>1573000</v>
      </c>
      <c r="L83" s="152">
        <v>1573000</v>
      </c>
      <c r="M83" s="150" t="s">
        <v>252</v>
      </c>
      <c r="N83" s="154">
        <v>1</v>
      </c>
      <c r="O83" s="156">
        <v>4</v>
      </c>
      <c r="P83" s="151" t="s">
        <v>253</v>
      </c>
      <c r="Q83" s="154">
        <v>0</v>
      </c>
      <c r="R83" s="156">
        <v>0</v>
      </c>
      <c r="S83" s="151" t="s">
        <v>83</v>
      </c>
      <c r="T83" s="150" t="s">
        <v>338</v>
      </c>
      <c r="U83" s="150" t="s">
        <v>339</v>
      </c>
      <c r="V83" s="151" t="s">
        <v>432</v>
      </c>
      <c r="W83" s="151"/>
      <c r="X83" s="159">
        <v>44771</v>
      </c>
      <c r="Y83" s="151">
        <v>2022</v>
      </c>
      <c r="Z83" s="151">
        <v>7</v>
      </c>
      <c r="AA83" s="151">
        <v>29</v>
      </c>
    </row>
    <row r="84" spans="1:27" x14ac:dyDescent="0.55000000000000004">
      <c r="A84" s="151">
        <v>91</v>
      </c>
      <c r="B84" s="150"/>
      <c r="C84" s="152">
        <v>2937000</v>
      </c>
      <c r="D84" s="152">
        <v>2937000</v>
      </c>
      <c r="E84" s="152">
        <v>2937000</v>
      </c>
      <c r="F84" s="152">
        <v>0</v>
      </c>
      <c r="G84" s="152">
        <v>2937000</v>
      </c>
      <c r="H84" s="152">
        <v>2937000</v>
      </c>
      <c r="I84" s="152">
        <v>2937000</v>
      </c>
      <c r="J84" s="152">
        <v>2937000</v>
      </c>
      <c r="K84" s="152">
        <v>2937000</v>
      </c>
      <c r="L84" s="152">
        <v>2937000</v>
      </c>
      <c r="M84" s="150" t="s">
        <v>269</v>
      </c>
      <c r="N84" s="154">
        <v>2</v>
      </c>
      <c r="O84" s="156">
        <v>8</v>
      </c>
      <c r="P84" s="151" t="s">
        <v>253</v>
      </c>
      <c r="Q84" s="154">
        <v>0</v>
      </c>
      <c r="R84" s="156">
        <v>0</v>
      </c>
      <c r="S84" s="151" t="s">
        <v>83</v>
      </c>
      <c r="T84" s="150" t="s">
        <v>256</v>
      </c>
      <c r="U84" s="150" t="s">
        <v>340</v>
      </c>
      <c r="V84" s="151" t="s">
        <v>432</v>
      </c>
      <c r="W84" s="151"/>
      <c r="X84" s="159">
        <v>44771</v>
      </c>
      <c r="Y84" s="151">
        <v>2022</v>
      </c>
      <c r="Z84" s="151">
        <v>7</v>
      </c>
      <c r="AA84" s="151">
        <v>29</v>
      </c>
    </row>
    <row r="85" spans="1:27" x14ac:dyDescent="0.55000000000000004">
      <c r="A85" s="151">
        <v>93</v>
      </c>
      <c r="B85" s="150"/>
      <c r="C85" s="152">
        <v>1463000</v>
      </c>
      <c r="D85" s="152">
        <v>1463000</v>
      </c>
      <c r="E85" s="152">
        <v>1463688</v>
      </c>
      <c r="F85" s="152">
        <v>0</v>
      </c>
      <c r="G85" s="152">
        <v>1463688</v>
      </c>
      <c r="H85" s="152">
        <v>1463688</v>
      </c>
      <c r="I85" s="152">
        <v>1463688</v>
      </c>
      <c r="J85" s="152">
        <v>1463688</v>
      </c>
      <c r="K85" s="152">
        <v>1463688</v>
      </c>
      <c r="L85" s="152">
        <v>1463000</v>
      </c>
      <c r="M85" s="150" t="s">
        <v>252</v>
      </c>
      <c r="N85" s="154">
        <v>1</v>
      </c>
      <c r="O85" s="156">
        <v>10</v>
      </c>
      <c r="P85" s="151" t="s">
        <v>253</v>
      </c>
      <c r="Q85" s="154">
        <v>0</v>
      </c>
      <c r="R85" s="156">
        <v>0</v>
      </c>
      <c r="S85" s="151" t="s">
        <v>83</v>
      </c>
      <c r="T85" s="150" t="s">
        <v>283</v>
      </c>
      <c r="U85" s="150" t="s">
        <v>341</v>
      </c>
      <c r="V85" s="151" t="s">
        <v>432</v>
      </c>
      <c r="W85" s="151"/>
      <c r="X85" s="159">
        <v>44771</v>
      </c>
      <c r="Y85" s="151">
        <v>2022</v>
      </c>
      <c r="Z85" s="151">
        <v>7</v>
      </c>
      <c r="AA85" s="151">
        <v>29</v>
      </c>
    </row>
    <row r="86" spans="1:27" x14ac:dyDescent="0.55000000000000004">
      <c r="A86" s="151">
        <v>95</v>
      </c>
      <c r="B86" s="150"/>
      <c r="C86" s="152">
        <v>7018000</v>
      </c>
      <c r="D86" s="152">
        <v>7018000</v>
      </c>
      <c r="E86" s="152">
        <v>7018913</v>
      </c>
      <c r="F86" s="152">
        <v>0</v>
      </c>
      <c r="G86" s="152">
        <v>7018913</v>
      </c>
      <c r="H86" s="152">
        <v>7018913</v>
      </c>
      <c r="I86" s="152">
        <v>7018913</v>
      </c>
      <c r="J86" s="152">
        <v>7018913</v>
      </c>
      <c r="K86" s="152">
        <v>7018913</v>
      </c>
      <c r="L86" s="152">
        <v>7018000</v>
      </c>
      <c r="M86" s="150" t="s">
        <v>269</v>
      </c>
      <c r="N86" s="154">
        <v>1</v>
      </c>
      <c r="O86" s="156">
        <v>24</v>
      </c>
      <c r="P86" s="151" t="s">
        <v>252</v>
      </c>
      <c r="Q86" s="154">
        <v>1</v>
      </c>
      <c r="R86" s="156">
        <v>16</v>
      </c>
      <c r="S86" s="151" t="s">
        <v>83</v>
      </c>
      <c r="T86" s="150" t="s">
        <v>274</v>
      </c>
      <c r="U86" s="150" t="s">
        <v>342</v>
      </c>
      <c r="V86" s="151" t="s">
        <v>432</v>
      </c>
      <c r="W86" s="151"/>
      <c r="X86" s="159">
        <v>44771</v>
      </c>
      <c r="Y86" s="151">
        <v>2022</v>
      </c>
      <c r="Z86" s="151">
        <v>7</v>
      </c>
      <c r="AA86" s="151">
        <v>29</v>
      </c>
    </row>
    <row r="87" spans="1:27" x14ac:dyDescent="0.55000000000000004">
      <c r="A87" s="151">
        <v>96</v>
      </c>
      <c r="B87" s="150"/>
      <c r="C87" s="152">
        <v>1463000</v>
      </c>
      <c r="D87" s="152">
        <v>1463000</v>
      </c>
      <c r="E87" s="152">
        <v>1463688</v>
      </c>
      <c r="F87" s="152">
        <v>0</v>
      </c>
      <c r="G87" s="152">
        <v>1463688</v>
      </c>
      <c r="H87" s="152">
        <v>1463688</v>
      </c>
      <c r="I87" s="152">
        <v>1463688</v>
      </c>
      <c r="J87" s="152">
        <v>1463688</v>
      </c>
      <c r="K87" s="152">
        <v>1463688</v>
      </c>
      <c r="L87" s="152">
        <v>1463000</v>
      </c>
      <c r="M87" s="150" t="s">
        <v>252</v>
      </c>
      <c r="N87" s="154">
        <v>1</v>
      </c>
      <c r="O87" s="156">
        <v>18</v>
      </c>
      <c r="P87" s="151" t="s">
        <v>253</v>
      </c>
      <c r="Q87" s="154">
        <v>0</v>
      </c>
      <c r="R87" s="156">
        <v>0</v>
      </c>
      <c r="S87" s="151" t="s">
        <v>83</v>
      </c>
      <c r="T87" s="150" t="s">
        <v>343</v>
      </c>
      <c r="U87" s="150" t="s">
        <v>284</v>
      </c>
      <c r="V87" s="151" t="s">
        <v>432</v>
      </c>
      <c r="W87" s="151"/>
      <c r="X87" s="159">
        <v>44771</v>
      </c>
      <c r="Y87" s="151">
        <v>2022</v>
      </c>
      <c r="Z87" s="151">
        <v>7</v>
      </c>
      <c r="AA87" s="151">
        <v>29</v>
      </c>
    </row>
    <row r="88" spans="1:27" x14ac:dyDescent="0.55000000000000004">
      <c r="A88" s="151">
        <v>97</v>
      </c>
      <c r="B88" s="150"/>
      <c r="C88" s="152">
        <v>1342000</v>
      </c>
      <c r="D88" s="152">
        <v>1342000</v>
      </c>
      <c r="E88" s="152">
        <v>1342000</v>
      </c>
      <c r="F88" s="152">
        <v>0</v>
      </c>
      <c r="G88" s="152">
        <v>1342000</v>
      </c>
      <c r="H88" s="152">
        <v>1342000</v>
      </c>
      <c r="I88" s="152">
        <v>1342000</v>
      </c>
      <c r="J88" s="152">
        <v>1342000</v>
      </c>
      <c r="K88" s="152">
        <v>1342000</v>
      </c>
      <c r="L88" s="152">
        <v>1342000</v>
      </c>
      <c r="M88" s="150" t="s">
        <v>252</v>
      </c>
      <c r="N88" s="154">
        <v>1</v>
      </c>
      <c r="O88" s="156">
        <v>4</v>
      </c>
      <c r="P88" s="151" t="s">
        <v>253</v>
      </c>
      <c r="Q88" s="154">
        <v>0</v>
      </c>
      <c r="R88" s="156">
        <v>0</v>
      </c>
      <c r="S88" s="151" t="s">
        <v>83</v>
      </c>
      <c r="T88" s="150" t="s">
        <v>266</v>
      </c>
      <c r="U88" s="150" t="s">
        <v>344</v>
      </c>
      <c r="V88" s="151" t="s">
        <v>432</v>
      </c>
      <c r="W88" s="151"/>
      <c r="X88" s="159">
        <v>44771</v>
      </c>
      <c r="Y88" s="151">
        <v>2022</v>
      </c>
      <c r="Z88" s="151">
        <v>7</v>
      </c>
      <c r="AA88" s="151">
        <v>29</v>
      </c>
    </row>
    <row r="89" spans="1:27" x14ac:dyDescent="0.55000000000000004">
      <c r="A89" s="151">
        <v>99</v>
      </c>
      <c r="B89" s="150"/>
      <c r="C89" s="152">
        <v>1463000</v>
      </c>
      <c r="D89" s="152">
        <v>1463000</v>
      </c>
      <c r="E89" s="152">
        <v>1463687</v>
      </c>
      <c r="F89" s="152">
        <v>0</v>
      </c>
      <c r="G89" s="152">
        <v>1463687</v>
      </c>
      <c r="H89" s="152">
        <v>1463687</v>
      </c>
      <c r="I89" s="152">
        <v>1463687</v>
      </c>
      <c r="J89" s="152">
        <v>1463687</v>
      </c>
      <c r="K89" s="152">
        <v>1463687</v>
      </c>
      <c r="L89" s="152">
        <v>1463000</v>
      </c>
      <c r="M89" s="150" t="s">
        <v>252</v>
      </c>
      <c r="N89" s="154">
        <v>1</v>
      </c>
      <c r="O89" s="156">
        <v>10</v>
      </c>
      <c r="P89" s="151" t="s">
        <v>253</v>
      </c>
      <c r="Q89" s="154">
        <v>0</v>
      </c>
      <c r="R89" s="156">
        <v>0</v>
      </c>
      <c r="S89" s="151" t="s">
        <v>83</v>
      </c>
      <c r="T89" s="150" t="s">
        <v>274</v>
      </c>
      <c r="U89" s="150" t="s">
        <v>345</v>
      </c>
      <c r="V89" s="151" t="s">
        <v>432</v>
      </c>
      <c r="W89" s="151"/>
      <c r="X89" s="159">
        <v>44771</v>
      </c>
      <c r="Y89" s="151">
        <v>2022</v>
      </c>
      <c r="Z89" s="151">
        <v>7</v>
      </c>
      <c r="AA89" s="151">
        <v>29</v>
      </c>
    </row>
    <row r="90" spans="1:27" x14ac:dyDescent="0.55000000000000004">
      <c r="A90" s="151">
        <v>100</v>
      </c>
      <c r="B90" s="150"/>
      <c r="C90" s="152">
        <v>1496000</v>
      </c>
      <c r="D90" s="152">
        <v>1496000</v>
      </c>
      <c r="E90" s="152">
        <v>1496000</v>
      </c>
      <c r="F90" s="152">
        <v>0</v>
      </c>
      <c r="G90" s="152">
        <v>1496000</v>
      </c>
      <c r="H90" s="152">
        <v>1496000</v>
      </c>
      <c r="I90" s="152">
        <v>1496000</v>
      </c>
      <c r="J90" s="152">
        <v>1496000</v>
      </c>
      <c r="K90" s="152">
        <v>1496000</v>
      </c>
      <c r="L90" s="152">
        <v>1496000</v>
      </c>
      <c r="M90" s="150" t="s">
        <v>252</v>
      </c>
      <c r="N90" s="154">
        <v>1</v>
      </c>
      <c r="O90" s="156">
        <v>45</v>
      </c>
      <c r="P90" s="151" t="s">
        <v>253</v>
      </c>
      <c r="Q90" s="154">
        <v>0</v>
      </c>
      <c r="R90" s="156">
        <v>0</v>
      </c>
      <c r="S90" s="151" t="s">
        <v>83</v>
      </c>
      <c r="T90" s="150" t="s">
        <v>264</v>
      </c>
      <c r="U90" s="150" t="s">
        <v>289</v>
      </c>
      <c r="V90" s="151" t="s">
        <v>432</v>
      </c>
      <c r="W90" s="151"/>
      <c r="X90" s="159">
        <v>44771</v>
      </c>
      <c r="Y90" s="151">
        <v>2022</v>
      </c>
      <c r="Z90" s="151">
        <v>7</v>
      </c>
      <c r="AA90" s="151">
        <v>29</v>
      </c>
    </row>
    <row r="91" spans="1:27" x14ac:dyDescent="0.55000000000000004">
      <c r="A91" s="151">
        <v>101</v>
      </c>
      <c r="B91" s="150"/>
      <c r="C91" s="152">
        <v>1609000</v>
      </c>
      <c r="D91" s="152">
        <v>1609000</v>
      </c>
      <c r="E91" s="152">
        <v>1609575</v>
      </c>
      <c r="F91" s="152">
        <v>0</v>
      </c>
      <c r="G91" s="152">
        <v>1609575</v>
      </c>
      <c r="H91" s="152">
        <v>1609575</v>
      </c>
      <c r="I91" s="152">
        <v>1609575</v>
      </c>
      <c r="J91" s="152">
        <v>1609575</v>
      </c>
      <c r="K91" s="152">
        <v>1609575</v>
      </c>
      <c r="L91" s="152">
        <v>1609000</v>
      </c>
      <c r="M91" s="150" t="s">
        <v>252</v>
      </c>
      <c r="N91" s="154">
        <v>1</v>
      </c>
      <c r="O91" s="156">
        <v>12</v>
      </c>
      <c r="P91" s="151" t="s">
        <v>253</v>
      </c>
      <c r="Q91" s="154">
        <v>0</v>
      </c>
      <c r="R91" s="156">
        <v>0</v>
      </c>
      <c r="S91" s="151" t="s">
        <v>83</v>
      </c>
      <c r="T91" s="150" t="s">
        <v>264</v>
      </c>
      <c r="U91" s="150" t="s">
        <v>346</v>
      </c>
      <c r="V91" s="151" t="s">
        <v>432</v>
      </c>
      <c r="W91" s="151"/>
      <c r="X91" s="159">
        <v>44771</v>
      </c>
      <c r="Y91" s="151">
        <v>2022</v>
      </c>
      <c r="Z91" s="151">
        <v>7</v>
      </c>
      <c r="AA91" s="151">
        <v>29</v>
      </c>
    </row>
    <row r="92" spans="1:27" x14ac:dyDescent="0.55000000000000004">
      <c r="A92" s="151">
        <v>102</v>
      </c>
      <c r="B92" s="150"/>
      <c r="C92" s="152">
        <v>1603000</v>
      </c>
      <c r="D92" s="152">
        <v>1603000</v>
      </c>
      <c r="E92" s="152">
        <v>1603411</v>
      </c>
      <c r="F92" s="152">
        <v>0</v>
      </c>
      <c r="G92" s="152">
        <v>1603411</v>
      </c>
      <c r="H92" s="152">
        <v>1603411</v>
      </c>
      <c r="I92" s="152">
        <v>1603411</v>
      </c>
      <c r="J92" s="152">
        <v>1603411</v>
      </c>
      <c r="K92" s="152">
        <v>1603411</v>
      </c>
      <c r="L92" s="152">
        <v>1603000</v>
      </c>
      <c r="M92" s="150" t="s">
        <v>252</v>
      </c>
      <c r="N92" s="154">
        <v>1</v>
      </c>
      <c r="O92" s="156">
        <v>10</v>
      </c>
      <c r="P92" s="151" t="s">
        <v>253</v>
      </c>
      <c r="Q92" s="154">
        <v>0</v>
      </c>
      <c r="R92" s="156">
        <v>0</v>
      </c>
      <c r="S92" s="151" t="s">
        <v>83</v>
      </c>
      <c r="T92" s="150" t="s">
        <v>264</v>
      </c>
      <c r="U92" s="150" t="s">
        <v>293</v>
      </c>
      <c r="V92" s="151" t="s">
        <v>432</v>
      </c>
      <c r="W92" s="151"/>
      <c r="X92" s="159">
        <v>44771</v>
      </c>
      <c r="Y92" s="151">
        <v>2022</v>
      </c>
      <c r="Z92" s="151">
        <v>7</v>
      </c>
      <c r="AA92" s="151">
        <v>29</v>
      </c>
    </row>
    <row r="93" spans="1:27" x14ac:dyDescent="0.55000000000000004">
      <c r="A93" s="151">
        <v>103</v>
      </c>
      <c r="B93" s="150"/>
      <c r="C93" s="152">
        <v>3137000</v>
      </c>
      <c r="D93" s="152">
        <v>3137000</v>
      </c>
      <c r="E93" s="152">
        <v>3137530</v>
      </c>
      <c r="F93" s="152">
        <v>0</v>
      </c>
      <c r="G93" s="152">
        <v>3137530</v>
      </c>
      <c r="H93" s="152">
        <v>3137530</v>
      </c>
      <c r="I93" s="152">
        <v>3137530</v>
      </c>
      <c r="J93" s="152">
        <v>3137530</v>
      </c>
      <c r="K93" s="152">
        <v>3137530</v>
      </c>
      <c r="L93" s="152">
        <v>3137000</v>
      </c>
      <c r="M93" s="150" t="s">
        <v>269</v>
      </c>
      <c r="N93" s="154">
        <v>1</v>
      </c>
      <c r="O93" s="156">
        <v>10</v>
      </c>
      <c r="P93" s="151" t="s">
        <v>253</v>
      </c>
      <c r="Q93" s="154">
        <v>0</v>
      </c>
      <c r="R93" s="156">
        <v>0</v>
      </c>
      <c r="S93" s="151" t="s">
        <v>83</v>
      </c>
      <c r="T93" s="150" t="s">
        <v>276</v>
      </c>
      <c r="U93" s="150" t="s">
        <v>347</v>
      </c>
      <c r="V93" s="151" t="s">
        <v>432</v>
      </c>
      <c r="W93" s="151"/>
      <c r="X93" s="159">
        <v>44771</v>
      </c>
      <c r="Y93" s="151">
        <v>2022</v>
      </c>
      <c r="Z93" s="151">
        <v>7</v>
      </c>
      <c r="AA93" s="151">
        <v>29</v>
      </c>
    </row>
    <row r="94" spans="1:27" x14ac:dyDescent="0.55000000000000004">
      <c r="A94" s="151">
        <v>104</v>
      </c>
      <c r="B94" s="150"/>
      <c r="C94" s="152">
        <v>9910000</v>
      </c>
      <c r="D94" s="152">
        <v>9910000</v>
      </c>
      <c r="E94" s="152">
        <v>9910505</v>
      </c>
      <c r="F94" s="152">
        <v>0</v>
      </c>
      <c r="G94" s="152">
        <v>9910505</v>
      </c>
      <c r="H94" s="152">
        <v>9910505</v>
      </c>
      <c r="I94" s="152">
        <v>9910505</v>
      </c>
      <c r="J94" s="152">
        <v>9910505</v>
      </c>
      <c r="K94" s="152">
        <v>9910505</v>
      </c>
      <c r="L94" s="152">
        <v>9910000</v>
      </c>
      <c r="M94" s="150" t="s">
        <v>269</v>
      </c>
      <c r="N94" s="154">
        <v>1</v>
      </c>
      <c r="O94" s="156">
        <v>80</v>
      </c>
      <c r="P94" s="151" t="s">
        <v>253</v>
      </c>
      <c r="Q94" s="154">
        <v>0</v>
      </c>
      <c r="R94" s="156">
        <v>0</v>
      </c>
      <c r="S94" s="151" t="s">
        <v>83</v>
      </c>
      <c r="T94" s="150" t="s">
        <v>254</v>
      </c>
      <c r="U94" s="150" t="s">
        <v>284</v>
      </c>
      <c r="V94" s="151" t="s">
        <v>432</v>
      </c>
      <c r="W94" s="151"/>
      <c r="X94" s="159">
        <v>44771</v>
      </c>
      <c r="Y94" s="151">
        <v>2022</v>
      </c>
      <c r="Z94" s="151">
        <v>7</v>
      </c>
      <c r="AA94" s="151">
        <v>29</v>
      </c>
    </row>
    <row r="95" spans="1:27" x14ac:dyDescent="0.55000000000000004">
      <c r="A95" s="151">
        <v>105</v>
      </c>
      <c r="B95" s="150"/>
      <c r="C95" s="152">
        <v>1463000</v>
      </c>
      <c r="D95" s="152">
        <v>1463000</v>
      </c>
      <c r="E95" s="152">
        <v>1463688</v>
      </c>
      <c r="F95" s="152">
        <v>0</v>
      </c>
      <c r="G95" s="152">
        <v>1463688</v>
      </c>
      <c r="H95" s="152">
        <v>1463688</v>
      </c>
      <c r="I95" s="152">
        <v>1463688</v>
      </c>
      <c r="J95" s="152">
        <v>1463688</v>
      </c>
      <c r="K95" s="152">
        <v>1463688</v>
      </c>
      <c r="L95" s="152">
        <v>1463000</v>
      </c>
      <c r="M95" s="150" t="s">
        <v>252</v>
      </c>
      <c r="N95" s="154">
        <v>1</v>
      </c>
      <c r="O95" s="156">
        <v>10</v>
      </c>
      <c r="P95" s="151" t="s">
        <v>253</v>
      </c>
      <c r="Q95" s="154">
        <v>0</v>
      </c>
      <c r="R95" s="156">
        <v>0</v>
      </c>
      <c r="S95" s="151" t="s">
        <v>83</v>
      </c>
      <c r="T95" s="150" t="s">
        <v>274</v>
      </c>
      <c r="U95" s="150" t="s">
        <v>348</v>
      </c>
      <c r="V95" s="151" t="s">
        <v>432</v>
      </c>
      <c r="W95" s="151"/>
      <c r="X95" s="159">
        <v>44771</v>
      </c>
      <c r="Y95" s="151">
        <v>2022</v>
      </c>
      <c r="Z95" s="151">
        <v>7</v>
      </c>
      <c r="AA95" s="151">
        <v>29</v>
      </c>
    </row>
    <row r="96" spans="1:27" x14ac:dyDescent="0.55000000000000004">
      <c r="A96" s="151">
        <v>106</v>
      </c>
      <c r="B96" s="150"/>
      <c r="C96" s="152">
        <v>1463000</v>
      </c>
      <c r="D96" s="152">
        <v>1463000</v>
      </c>
      <c r="E96" s="152">
        <v>1463688</v>
      </c>
      <c r="F96" s="152">
        <v>0</v>
      </c>
      <c r="G96" s="152">
        <v>1463688</v>
      </c>
      <c r="H96" s="152">
        <v>1463688</v>
      </c>
      <c r="I96" s="152">
        <v>1463688</v>
      </c>
      <c r="J96" s="152">
        <v>1463688</v>
      </c>
      <c r="K96" s="152">
        <v>1463688</v>
      </c>
      <c r="L96" s="152">
        <v>1463000</v>
      </c>
      <c r="M96" s="150" t="s">
        <v>252</v>
      </c>
      <c r="N96" s="154">
        <v>1</v>
      </c>
      <c r="O96" s="156">
        <v>8</v>
      </c>
      <c r="P96" s="151" t="s">
        <v>253</v>
      </c>
      <c r="Q96" s="154">
        <v>0</v>
      </c>
      <c r="R96" s="156">
        <v>0</v>
      </c>
      <c r="S96" s="151" t="s">
        <v>83</v>
      </c>
      <c r="T96" s="150" t="s">
        <v>254</v>
      </c>
      <c r="U96" s="150" t="s">
        <v>349</v>
      </c>
      <c r="V96" s="151" t="s">
        <v>432</v>
      </c>
      <c r="W96" s="151"/>
      <c r="X96" s="159">
        <v>44771</v>
      </c>
      <c r="Y96" s="151">
        <v>2022</v>
      </c>
      <c r="Z96" s="151">
        <v>7</v>
      </c>
      <c r="AA96" s="151">
        <v>29</v>
      </c>
    </row>
    <row r="97" spans="1:27" x14ac:dyDescent="0.55000000000000004">
      <c r="A97" s="151">
        <v>107</v>
      </c>
      <c r="B97" s="150"/>
      <c r="C97" s="152">
        <v>1463000</v>
      </c>
      <c r="D97" s="152">
        <v>1463000</v>
      </c>
      <c r="E97" s="152">
        <v>1463687</v>
      </c>
      <c r="F97" s="152">
        <v>0</v>
      </c>
      <c r="G97" s="152">
        <v>1463687</v>
      </c>
      <c r="H97" s="152">
        <v>1463687</v>
      </c>
      <c r="I97" s="152">
        <v>1463687</v>
      </c>
      <c r="J97" s="152">
        <v>1463687</v>
      </c>
      <c r="K97" s="152">
        <v>1463687</v>
      </c>
      <c r="L97" s="152">
        <v>1463000</v>
      </c>
      <c r="M97" s="150" t="s">
        <v>252</v>
      </c>
      <c r="N97" s="154">
        <v>1</v>
      </c>
      <c r="O97" s="156">
        <v>8</v>
      </c>
      <c r="P97" s="151" t="s">
        <v>253</v>
      </c>
      <c r="Q97" s="154">
        <v>0</v>
      </c>
      <c r="R97" s="156">
        <v>0</v>
      </c>
      <c r="S97" s="151" t="s">
        <v>83</v>
      </c>
      <c r="T97" s="150" t="s">
        <v>266</v>
      </c>
      <c r="U97" s="150" t="s">
        <v>265</v>
      </c>
      <c r="V97" s="151" t="s">
        <v>432</v>
      </c>
      <c r="W97" s="151"/>
      <c r="X97" s="159">
        <v>44771</v>
      </c>
      <c r="Y97" s="151">
        <v>2022</v>
      </c>
      <c r="Z97" s="151">
        <v>7</v>
      </c>
      <c r="AA97" s="151">
        <v>29</v>
      </c>
    </row>
    <row r="98" spans="1:27" x14ac:dyDescent="0.55000000000000004">
      <c r="A98" s="151">
        <v>108</v>
      </c>
      <c r="B98" s="150"/>
      <c r="C98" s="152">
        <v>1468000</v>
      </c>
      <c r="D98" s="152">
        <v>1468000</v>
      </c>
      <c r="E98" s="152">
        <v>1468500</v>
      </c>
      <c r="F98" s="152">
        <v>0</v>
      </c>
      <c r="G98" s="152">
        <v>1468500</v>
      </c>
      <c r="H98" s="152">
        <v>1468500</v>
      </c>
      <c r="I98" s="152">
        <v>1468500</v>
      </c>
      <c r="J98" s="152">
        <v>1468500</v>
      </c>
      <c r="K98" s="152">
        <v>1468500</v>
      </c>
      <c r="L98" s="152">
        <v>1468000</v>
      </c>
      <c r="M98" s="150" t="s">
        <v>252</v>
      </c>
      <c r="N98" s="154">
        <v>1</v>
      </c>
      <c r="O98" s="156">
        <v>10</v>
      </c>
      <c r="P98" s="151" t="s">
        <v>253</v>
      </c>
      <c r="Q98" s="154">
        <v>0</v>
      </c>
      <c r="R98" s="156">
        <v>0</v>
      </c>
      <c r="S98" s="151" t="s">
        <v>83</v>
      </c>
      <c r="T98" s="150" t="s">
        <v>266</v>
      </c>
      <c r="U98" s="150" t="s">
        <v>282</v>
      </c>
      <c r="V98" s="151" t="s">
        <v>432</v>
      </c>
      <c r="W98" s="151"/>
      <c r="X98" s="159">
        <v>44771</v>
      </c>
      <c r="Y98" s="151">
        <v>2022</v>
      </c>
      <c r="Z98" s="151">
        <v>7</v>
      </c>
      <c r="AA98" s="151">
        <v>29</v>
      </c>
    </row>
    <row r="99" spans="1:27" x14ac:dyDescent="0.55000000000000004">
      <c r="A99" s="151">
        <v>109</v>
      </c>
      <c r="B99" s="150"/>
      <c r="C99" s="152">
        <v>1450000</v>
      </c>
      <c r="D99" s="152">
        <v>1450000</v>
      </c>
      <c r="E99" s="152">
        <v>1450680</v>
      </c>
      <c r="F99" s="152">
        <v>0</v>
      </c>
      <c r="G99" s="152">
        <v>1450680</v>
      </c>
      <c r="H99" s="152">
        <v>1450680</v>
      </c>
      <c r="I99" s="152">
        <v>1450680</v>
      </c>
      <c r="J99" s="152">
        <v>1450680</v>
      </c>
      <c r="K99" s="152">
        <v>1450680</v>
      </c>
      <c r="L99" s="152">
        <v>1450000</v>
      </c>
      <c r="M99" s="150" t="s">
        <v>252</v>
      </c>
      <c r="N99" s="154">
        <v>1</v>
      </c>
      <c r="O99" s="156">
        <v>4</v>
      </c>
      <c r="P99" s="151" t="s">
        <v>253</v>
      </c>
      <c r="Q99" s="154">
        <v>0</v>
      </c>
      <c r="R99" s="156">
        <v>0</v>
      </c>
      <c r="S99" s="151" t="s">
        <v>83</v>
      </c>
      <c r="T99" s="150" t="s">
        <v>264</v>
      </c>
      <c r="U99" s="150" t="s">
        <v>329</v>
      </c>
      <c r="V99" s="151" t="s">
        <v>432</v>
      </c>
      <c r="W99" s="151"/>
      <c r="X99" s="159">
        <v>44771</v>
      </c>
      <c r="Y99" s="151">
        <v>2022</v>
      </c>
      <c r="Z99" s="151">
        <v>7</v>
      </c>
      <c r="AA99" s="151">
        <v>29</v>
      </c>
    </row>
    <row r="100" spans="1:27" x14ac:dyDescent="0.55000000000000004">
      <c r="A100" s="151">
        <v>110</v>
      </c>
      <c r="B100" s="150"/>
      <c r="C100" s="152">
        <v>1089000</v>
      </c>
      <c r="D100" s="152">
        <v>1089000</v>
      </c>
      <c r="E100" s="152">
        <v>1089000</v>
      </c>
      <c r="F100" s="152">
        <v>0</v>
      </c>
      <c r="G100" s="152">
        <v>1089000</v>
      </c>
      <c r="H100" s="152">
        <v>1089000</v>
      </c>
      <c r="I100" s="152">
        <v>1089000</v>
      </c>
      <c r="J100" s="152">
        <v>1089000</v>
      </c>
      <c r="K100" s="152">
        <v>1089000</v>
      </c>
      <c r="L100" s="152">
        <v>1089000</v>
      </c>
      <c r="M100" s="150" t="s">
        <v>252</v>
      </c>
      <c r="N100" s="154">
        <v>1</v>
      </c>
      <c r="O100" s="156">
        <v>8</v>
      </c>
      <c r="P100" s="151" t="s">
        <v>253</v>
      </c>
      <c r="Q100" s="154">
        <v>0</v>
      </c>
      <c r="R100" s="156">
        <v>0</v>
      </c>
      <c r="S100" s="151" t="s">
        <v>83</v>
      </c>
      <c r="T100" s="150" t="s">
        <v>260</v>
      </c>
      <c r="U100" s="150" t="s">
        <v>277</v>
      </c>
      <c r="V100" s="151" t="s">
        <v>432</v>
      </c>
      <c r="W100" s="151"/>
      <c r="X100" s="159">
        <v>44771</v>
      </c>
      <c r="Y100" s="151">
        <v>2022</v>
      </c>
      <c r="Z100" s="151">
        <v>7</v>
      </c>
      <c r="AA100" s="151">
        <v>29</v>
      </c>
    </row>
    <row r="101" spans="1:27" x14ac:dyDescent="0.55000000000000004">
      <c r="A101" s="151">
        <v>111</v>
      </c>
      <c r="B101" s="150"/>
      <c r="C101" s="152">
        <v>1430000</v>
      </c>
      <c r="D101" s="152">
        <v>1430000</v>
      </c>
      <c r="E101" s="152">
        <v>1430000</v>
      </c>
      <c r="F101" s="152">
        <v>0</v>
      </c>
      <c r="G101" s="152">
        <v>1430000</v>
      </c>
      <c r="H101" s="152">
        <v>1430000</v>
      </c>
      <c r="I101" s="152">
        <v>1430000</v>
      </c>
      <c r="J101" s="152">
        <v>1430000</v>
      </c>
      <c r="K101" s="152">
        <v>1430000</v>
      </c>
      <c r="L101" s="152">
        <v>1430000</v>
      </c>
      <c r="M101" s="150" t="s">
        <v>252</v>
      </c>
      <c r="N101" s="154">
        <v>1</v>
      </c>
      <c r="O101" s="156">
        <v>18</v>
      </c>
      <c r="P101" s="151" t="s">
        <v>253</v>
      </c>
      <c r="Q101" s="154">
        <v>0</v>
      </c>
      <c r="R101" s="156">
        <v>0</v>
      </c>
      <c r="S101" s="151" t="s">
        <v>83</v>
      </c>
      <c r="T101" s="150" t="s">
        <v>258</v>
      </c>
      <c r="U101" s="150" t="s">
        <v>309</v>
      </c>
      <c r="V101" s="151" t="s">
        <v>432</v>
      </c>
      <c r="W101" s="151"/>
      <c r="X101" s="159">
        <v>44771</v>
      </c>
      <c r="Y101" s="151">
        <v>2022</v>
      </c>
      <c r="Z101" s="151">
        <v>7</v>
      </c>
      <c r="AA101" s="151">
        <v>29</v>
      </c>
    </row>
    <row r="102" spans="1:27" x14ac:dyDescent="0.55000000000000004">
      <c r="A102" s="151">
        <v>112</v>
      </c>
      <c r="B102" s="150"/>
      <c r="C102" s="152">
        <v>1463000</v>
      </c>
      <c r="D102" s="152">
        <v>1463000</v>
      </c>
      <c r="E102" s="152">
        <v>1463688</v>
      </c>
      <c r="F102" s="152">
        <v>0</v>
      </c>
      <c r="G102" s="152">
        <v>1463688</v>
      </c>
      <c r="H102" s="152">
        <v>1463688</v>
      </c>
      <c r="I102" s="152">
        <v>1463688</v>
      </c>
      <c r="J102" s="152">
        <v>1463688</v>
      </c>
      <c r="K102" s="152">
        <v>1463688</v>
      </c>
      <c r="L102" s="152">
        <v>1463000</v>
      </c>
      <c r="M102" s="150" t="s">
        <v>252</v>
      </c>
      <c r="N102" s="154">
        <v>1</v>
      </c>
      <c r="O102" s="156">
        <v>10</v>
      </c>
      <c r="P102" s="151" t="s">
        <v>253</v>
      </c>
      <c r="Q102" s="154">
        <v>0</v>
      </c>
      <c r="R102" s="156">
        <v>0</v>
      </c>
      <c r="S102" s="151" t="s">
        <v>83</v>
      </c>
      <c r="T102" s="150" t="s">
        <v>266</v>
      </c>
      <c r="U102" s="150" t="s">
        <v>350</v>
      </c>
      <c r="V102" s="151" t="s">
        <v>432</v>
      </c>
      <c r="W102" s="151"/>
      <c r="X102" s="159">
        <v>44771</v>
      </c>
      <c r="Y102" s="151">
        <v>2022</v>
      </c>
      <c r="Z102" s="151">
        <v>7</v>
      </c>
      <c r="AA102" s="151">
        <v>29</v>
      </c>
    </row>
    <row r="103" spans="1:27" x14ac:dyDescent="0.55000000000000004">
      <c r="A103" s="151">
        <v>113</v>
      </c>
      <c r="B103" s="150"/>
      <c r="C103" s="152">
        <v>1485000</v>
      </c>
      <c r="D103" s="152">
        <v>1485000</v>
      </c>
      <c r="E103" s="152">
        <v>1485000</v>
      </c>
      <c r="F103" s="152">
        <v>0</v>
      </c>
      <c r="G103" s="152">
        <v>1485000</v>
      </c>
      <c r="H103" s="152">
        <v>1485000</v>
      </c>
      <c r="I103" s="152">
        <v>1485000</v>
      </c>
      <c r="J103" s="152">
        <v>1485000</v>
      </c>
      <c r="K103" s="152">
        <v>1485000</v>
      </c>
      <c r="L103" s="152">
        <v>1485000</v>
      </c>
      <c r="M103" s="150" t="s">
        <v>252</v>
      </c>
      <c r="N103" s="154">
        <v>1</v>
      </c>
      <c r="O103" s="156">
        <v>40</v>
      </c>
      <c r="P103" s="151" t="s">
        <v>253</v>
      </c>
      <c r="Q103" s="154">
        <v>0</v>
      </c>
      <c r="R103" s="156">
        <v>0</v>
      </c>
      <c r="S103" s="151" t="s">
        <v>83</v>
      </c>
      <c r="T103" s="150" t="s">
        <v>260</v>
      </c>
      <c r="U103" s="150" t="s">
        <v>330</v>
      </c>
      <c r="V103" s="151" t="s">
        <v>432</v>
      </c>
      <c r="W103" s="151"/>
      <c r="X103" s="159">
        <v>44771</v>
      </c>
      <c r="Y103" s="151">
        <v>2022</v>
      </c>
      <c r="Z103" s="151">
        <v>7</v>
      </c>
      <c r="AA103" s="151">
        <v>29</v>
      </c>
    </row>
    <row r="104" spans="1:27" x14ac:dyDescent="0.55000000000000004">
      <c r="A104" s="151">
        <v>114</v>
      </c>
      <c r="B104" s="150"/>
      <c r="C104" s="152">
        <v>1463000</v>
      </c>
      <c r="D104" s="152">
        <v>1463000</v>
      </c>
      <c r="E104" s="152">
        <v>1463687.5</v>
      </c>
      <c r="F104" s="152">
        <v>0</v>
      </c>
      <c r="G104" s="152">
        <v>1463687.5</v>
      </c>
      <c r="H104" s="152">
        <v>1463687.5</v>
      </c>
      <c r="I104" s="152">
        <v>1463687.5</v>
      </c>
      <c r="J104" s="152">
        <v>1463687.5</v>
      </c>
      <c r="K104" s="152">
        <v>1463687.5</v>
      </c>
      <c r="L104" s="152">
        <v>1463000</v>
      </c>
      <c r="M104" s="150" t="s">
        <v>252</v>
      </c>
      <c r="N104" s="154">
        <v>1</v>
      </c>
      <c r="O104" s="156">
        <v>20</v>
      </c>
      <c r="P104" s="151" t="s">
        <v>253</v>
      </c>
      <c r="Q104" s="154">
        <v>0</v>
      </c>
      <c r="R104" s="156">
        <v>0</v>
      </c>
      <c r="S104" s="151" t="s">
        <v>83</v>
      </c>
      <c r="T104" s="150" t="s">
        <v>276</v>
      </c>
      <c r="U104" s="150" t="s">
        <v>299</v>
      </c>
      <c r="V104" s="151" t="s">
        <v>432</v>
      </c>
      <c r="W104" s="151"/>
      <c r="X104" s="159">
        <v>44771</v>
      </c>
      <c r="Y104" s="151">
        <v>2022</v>
      </c>
      <c r="Z104" s="151">
        <v>7</v>
      </c>
      <c r="AA104" s="151">
        <v>29</v>
      </c>
    </row>
    <row r="105" spans="1:27" x14ac:dyDescent="0.55000000000000004">
      <c r="A105" s="151">
        <v>115</v>
      </c>
      <c r="B105" s="150"/>
      <c r="C105" s="152">
        <v>1485000</v>
      </c>
      <c r="D105" s="152">
        <v>1485000</v>
      </c>
      <c r="E105" s="152">
        <v>1485000</v>
      </c>
      <c r="F105" s="152">
        <v>0</v>
      </c>
      <c r="G105" s="152">
        <v>1485000</v>
      </c>
      <c r="H105" s="152">
        <v>1485000</v>
      </c>
      <c r="I105" s="152">
        <v>1485000</v>
      </c>
      <c r="J105" s="152">
        <v>1485000</v>
      </c>
      <c r="K105" s="152">
        <v>1485000</v>
      </c>
      <c r="L105" s="152">
        <v>1485000</v>
      </c>
      <c r="M105" s="150" t="s">
        <v>252</v>
      </c>
      <c r="N105" s="154">
        <v>1</v>
      </c>
      <c r="O105" s="156">
        <v>10</v>
      </c>
      <c r="P105" s="151" t="s">
        <v>253</v>
      </c>
      <c r="Q105" s="154">
        <v>0</v>
      </c>
      <c r="R105" s="156">
        <v>0</v>
      </c>
      <c r="S105" s="151" t="s">
        <v>83</v>
      </c>
      <c r="T105" s="150" t="s">
        <v>266</v>
      </c>
      <c r="U105" s="150" t="s">
        <v>351</v>
      </c>
      <c r="V105" s="151" t="s">
        <v>432</v>
      </c>
      <c r="W105" s="151"/>
      <c r="X105" s="159">
        <v>44771</v>
      </c>
      <c r="Y105" s="151">
        <v>2022</v>
      </c>
      <c r="Z105" s="151">
        <v>7</v>
      </c>
      <c r="AA105" s="151">
        <v>29</v>
      </c>
    </row>
    <row r="106" spans="1:27" x14ac:dyDescent="0.55000000000000004">
      <c r="A106" s="151">
        <v>116</v>
      </c>
      <c r="B106" s="150"/>
      <c r="C106" s="152">
        <v>1463000</v>
      </c>
      <c r="D106" s="152">
        <v>1463000</v>
      </c>
      <c r="E106" s="152">
        <v>1463688</v>
      </c>
      <c r="F106" s="152">
        <v>0</v>
      </c>
      <c r="G106" s="152">
        <v>1463688</v>
      </c>
      <c r="H106" s="152">
        <v>1463688</v>
      </c>
      <c r="I106" s="152">
        <v>1463688</v>
      </c>
      <c r="J106" s="152">
        <v>1463688</v>
      </c>
      <c r="K106" s="152">
        <v>1463688</v>
      </c>
      <c r="L106" s="152">
        <v>1463000</v>
      </c>
      <c r="M106" s="150" t="s">
        <v>252</v>
      </c>
      <c r="N106" s="154">
        <v>1</v>
      </c>
      <c r="O106" s="156">
        <v>10</v>
      </c>
      <c r="P106" s="151" t="s">
        <v>253</v>
      </c>
      <c r="Q106" s="154">
        <v>0</v>
      </c>
      <c r="R106" s="156">
        <v>0</v>
      </c>
      <c r="S106" s="151" t="s">
        <v>83</v>
      </c>
      <c r="T106" s="150" t="s">
        <v>254</v>
      </c>
      <c r="U106" s="150" t="s">
        <v>352</v>
      </c>
      <c r="V106" s="151" t="s">
        <v>432</v>
      </c>
      <c r="W106" s="151"/>
      <c r="X106" s="159">
        <v>44771</v>
      </c>
      <c r="Y106" s="151">
        <v>2022</v>
      </c>
      <c r="Z106" s="151">
        <v>7</v>
      </c>
      <c r="AA106" s="151">
        <v>29</v>
      </c>
    </row>
    <row r="107" spans="1:27" x14ac:dyDescent="0.55000000000000004">
      <c r="A107" s="151">
        <v>117</v>
      </c>
      <c r="B107" s="150"/>
      <c r="C107" s="152">
        <v>1463000</v>
      </c>
      <c r="D107" s="152">
        <v>1463000</v>
      </c>
      <c r="E107" s="152">
        <v>1463688</v>
      </c>
      <c r="F107" s="152">
        <v>0</v>
      </c>
      <c r="G107" s="152">
        <v>1463688</v>
      </c>
      <c r="H107" s="152">
        <v>1463688</v>
      </c>
      <c r="I107" s="152">
        <v>1463688</v>
      </c>
      <c r="J107" s="152">
        <v>1463688</v>
      </c>
      <c r="K107" s="152">
        <v>1463688</v>
      </c>
      <c r="L107" s="152">
        <v>1463000</v>
      </c>
      <c r="M107" s="150" t="s">
        <v>252</v>
      </c>
      <c r="N107" s="154">
        <v>1</v>
      </c>
      <c r="O107" s="156">
        <v>20</v>
      </c>
      <c r="P107" s="151" t="s">
        <v>253</v>
      </c>
      <c r="Q107" s="154">
        <v>0</v>
      </c>
      <c r="R107" s="156">
        <v>0</v>
      </c>
      <c r="S107" s="151" t="s">
        <v>83</v>
      </c>
      <c r="T107" s="150" t="s">
        <v>266</v>
      </c>
      <c r="U107" s="150" t="s">
        <v>353</v>
      </c>
      <c r="V107" s="151" t="s">
        <v>432</v>
      </c>
      <c r="W107" s="151"/>
      <c r="X107" s="159">
        <v>44771</v>
      </c>
      <c r="Y107" s="151">
        <v>2022</v>
      </c>
      <c r="Z107" s="151">
        <v>7</v>
      </c>
      <c r="AA107" s="151">
        <v>29</v>
      </c>
    </row>
    <row r="108" spans="1:27" x14ac:dyDescent="0.55000000000000004">
      <c r="A108" s="151">
        <v>119</v>
      </c>
      <c r="B108" s="150"/>
      <c r="C108" s="152">
        <v>1045000</v>
      </c>
      <c r="D108" s="152">
        <v>1045000</v>
      </c>
      <c r="E108" s="152">
        <v>1045000</v>
      </c>
      <c r="F108" s="152">
        <v>0</v>
      </c>
      <c r="G108" s="152">
        <v>1045000</v>
      </c>
      <c r="H108" s="152">
        <v>1045000</v>
      </c>
      <c r="I108" s="152">
        <v>1045000</v>
      </c>
      <c r="J108" s="152">
        <v>1045000</v>
      </c>
      <c r="K108" s="152">
        <v>1045000</v>
      </c>
      <c r="L108" s="152">
        <v>1045000</v>
      </c>
      <c r="M108" s="150" t="s">
        <v>252</v>
      </c>
      <c r="N108" s="154">
        <v>1</v>
      </c>
      <c r="O108" s="156">
        <v>5</v>
      </c>
      <c r="P108" s="151" t="s">
        <v>253</v>
      </c>
      <c r="Q108" s="154">
        <v>0</v>
      </c>
      <c r="R108" s="156">
        <v>0</v>
      </c>
      <c r="S108" s="151" t="s">
        <v>83</v>
      </c>
      <c r="T108" s="150" t="s">
        <v>266</v>
      </c>
      <c r="U108" s="150" t="s">
        <v>275</v>
      </c>
      <c r="V108" s="151" t="s">
        <v>432</v>
      </c>
      <c r="W108" s="151"/>
      <c r="X108" s="159">
        <v>44771</v>
      </c>
      <c r="Y108" s="151">
        <v>2022</v>
      </c>
      <c r="Z108" s="151">
        <v>7</v>
      </c>
      <c r="AA108" s="151">
        <v>29</v>
      </c>
    </row>
    <row r="109" spans="1:27" x14ac:dyDescent="0.55000000000000004">
      <c r="A109" s="151">
        <v>120</v>
      </c>
      <c r="B109" s="150"/>
      <c r="C109" s="152">
        <v>1602000</v>
      </c>
      <c r="D109" s="152">
        <v>1602000</v>
      </c>
      <c r="E109" s="152">
        <v>1602700</v>
      </c>
      <c r="F109" s="152">
        <v>0</v>
      </c>
      <c r="G109" s="152">
        <v>1602700</v>
      </c>
      <c r="H109" s="152">
        <v>1602700</v>
      </c>
      <c r="I109" s="152">
        <v>1602700</v>
      </c>
      <c r="J109" s="152">
        <v>1602700</v>
      </c>
      <c r="K109" s="152">
        <v>1602700</v>
      </c>
      <c r="L109" s="152">
        <v>1602000</v>
      </c>
      <c r="M109" s="150" t="s">
        <v>252</v>
      </c>
      <c r="N109" s="154">
        <v>1</v>
      </c>
      <c r="O109" s="156">
        <v>10</v>
      </c>
      <c r="P109" s="151" t="s">
        <v>253</v>
      </c>
      <c r="Q109" s="154">
        <v>0</v>
      </c>
      <c r="R109" s="156">
        <v>0</v>
      </c>
      <c r="S109" s="151" t="s">
        <v>83</v>
      </c>
      <c r="T109" s="150" t="s">
        <v>260</v>
      </c>
      <c r="U109" s="150" t="s">
        <v>354</v>
      </c>
      <c r="V109" s="151" t="s">
        <v>432</v>
      </c>
      <c r="W109" s="151"/>
      <c r="X109" s="159">
        <v>44771</v>
      </c>
      <c r="Y109" s="151">
        <v>2022</v>
      </c>
      <c r="Z109" s="151">
        <v>7</v>
      </c>
      <c r="AA109" s="151">
        <v>29</v>
      </c>
    </row>
    <row r="110" spans="1:27" x14ac:dyDescent="0.55000000000000004">
      <c r="A110" s="151">
        <v>121</v>
      </c>
      <c r="B110" s="150"/>
      <c r="C110" s="152">
        <v>1463000</v>
      </c>
      <c r="D110" s="152">
        <v>1463000</v>
      </c>
      <c r="E110" s="152">
        <v>1463688</v>
      </c>
      <c r="F110" s="152">
        <v>0</v>
      </c>
      <c r="G110" s="152">
        <v>1463688</v>
      </c>
      <c r="H110" s="152">
        <v>1463688</v>
      </c>
      <c r="I110" s="152">
        <v>1463688</v>
      </c>
      <c r="J110" s="152">
        <v>1463688</v>
      </c>
      <c r="K110" s="152">
        <v>1463688</v>
      </c>
      <c r="L110" s="152">
        <v>1463000</v>
      </c>
      <c r="M110" s="150" t="s">
        <v>252</v>
      </c>
      <c r="N110" s="154">
        <v>1</v>
      </c>
      <c r="O110" s="156">
        <v>10</v>
      </c>
      <c r="P110" s="151" t="s">
        <v>253</v>
      </c>
      <c r="Q110" s="154">
        <v>0</v>
      </c>
      <c r="R110" s="156">
        <v>0</v>
      </c>
      <c r="S110" s="151" t="s">
        <v>83</v>
      </c>
      <c r="T110" s="150" t="s">
        <v>283</v>
      </c>
      <c r="U110" s="150" t="s">
        <v>355</v>
      </c>
      <c r="V110" s="151" t="s">
        <v>432</v>
      </c>
      <c r="W110" s="151"/>
      <c r="X110" s="159">
        <v>44771</v>
      </c>
      <c r="Y110" s="151">
        <v>2022</v>
      </c>
      <c r="Z110" s="151">
        <v>7</v>
      </c>
      <c r="AA110" s="151">
        <v>29</v>
      </c>
    </row>
    <row r="111" spans="1:27" x14ac:dyDescent="0.55000000000000004">
      <c r="A111" s="151">
        <v>122</v>
      </c>
      <c r="B111" s="150"/>
      <c r="C111" s="152">
        <v>1607000</v>
      </c>
      <c r="D111" s="152">
        <v>1607000</v>
      </c>
      <c r="E111" s="152">
        <v>1607374</v>
      </c>
      <c r="F111" s="152">
        <v>0</v>
      </c>
      <c r="G111" s="152">
        <v>1607374</v>
      </c>
      <c r="H111" s="152">
        <v>1607374</v>
      </c>
      <c r="I111" s="152">
        <v>1607374</v>
      </c>
      <c r="J111" s="152">
        <v>1607374</v>
      </c>
      <c r="K111" s="152">
        <v>1607374</v>
      </c>
      <c r="L111" s="152">
        <v>1607000</v>
      </c>
      <c r="M111" s="150" t="s">
        <v>252</v>
      </c>
      <c r="N111" s="154">
        <v>1</v>
      </c>
      <c r="O111" s="156">
        <v>4</v>
      </c>
      <c r="P111" s="151" t="s">
        <v>253</v>
      </c>
      <c r="Q111" s="154">
        <v>0</v>
      </c>
      <c r="R111" s="156">
        <v>0</v>
      </c>
      <c r="S111" s="151" t="s">
        <v>83</v>
      </c>
      <c r="T111" s="150" t="s">
        <v>274</v>
      </c>
      <c r="U111" s="150" t="s">
        <v>356</v>
      </c>
      <c r="V111" s="151" t="s">
        <v>432</v>
      </c>
      <c r="W111" s="151"/>
      <c r="X111" s="159">
        <v>44771</v>
      </c>
      <c r="Y111" s="151">
        <v>2022</v>
      </c>
      <c r="Z111" s="151">
        <v>7</v>
      </c>
      <c r="AA111" s="151">
        <v>29</v>
      </c>
    </row>
    <row r="112" spans="1:27" x14ac:dyDescent="0.55000000000000004">
      <c r="A112" s="151">
        <v>124</v>
      </c>
      <c r="B112" s="150"/>
      <c r="C112" s="152">
        <v>1353000</v>
      </c>
      <c r="D112" s="152">
        <v>1353000</v>
      </c>
      <c r="E112" s="152">
        <v>1353688</v>
      </c>
      <c r="F112" s="152">
        <v>0</v>
      </c>
      <c r="G112" s="152">
        <v>1353688</v>
      </c>
      <c r="H112" s="152">
        <v>1353688</v>
      </c>
      <c r="I112" s="152">
        <v>1353688</v>
      </c>
      <c r="J112" s="152">
        <v>1353688</v>
      </c>
      <c r="K112" s="152">
        <v>1353688</v>
      </c>
      <c r="L112" s="152">
        <v>1353000</v>
      </c>
      <c r="M112" s="150" t="s">
        <v>252</v>
      </c>
      <c r="N112" s="154">
        <v>1</v>
      </c>
      <c r="O112" s="156">
        <v>10</v>
      </c>
      <c r="P112" s="151" t="s">
        <v>253</v>
      </c>
      <c r="Q112" s="154">
        <v>0</v>
      </c>
      <c r="R112" s="156">
        <v>0</v>
      </c>
      <c r="S112" s="151" t="s">
        <v>83</v>
      </c>
      <c r="T112" s="150" t="s">
        <v>274</v>
      </c>
      <c r="U112" s="150" t="s">
        <v>348</v>
      </c>
      <c r="V112" s="151" t="s">
        <v>432</v>
      </c>
      <c r="W112" s="151"/>
      <c r="X112" s="159">
        <v>44771</v>
      </c>
      <c r="Y112" s="151">
        <v>2022</v>
      </c>
      <c r="Z112" s="151">
        <v>7</v>
      </c>
      <c r="AA112" s="151">
        <v>29</v>
      </c>
    </row>
    <row r="113" spans="1:27" x14ac:dyDescent="0.55000000000000004">
      <c r="A113" s="151">
        <v>125</v>
      </c>
      <c r="B113" s="150"/>
      <c r="C113" s="152">
        <v>2310000</v>
      </c>
      <c r="D113" s="152">
        <v>2310000</v>
      </c>
      <c r="E113" s="152">
        <v>2310000</v>
      </c>
      <c r="F113" s="152">
        <v>0</v>
      </c>
      <c r="G113" s="152">
        <v>2310000</v>
      </c>
      <c r="H113" s="152">
        <v>2310000</v>
      </c>
      <c r="I113" s="152">
        <v>2310000</v>
      </c>
      <c r="J113" s="152">
        <v>2310000</v>
      </c>
      <c r="K113" s="152">
        <v>2310000</v>
      </c>
      <c r="L113" s="152">
        <v>2310000</v>
      </c>
      <c r="M113" s="150" t="s">
        <v>252</v>
      </c>
      <c r="N113" s="154">
        <v>2</v>
      </c>
      <c r="O113" s="156">
        <v>10</v>
      </c>
      <c r="P113" s="151" t="s">
        <v>253</v>
      </c>
      <c r="Q113" s="154">
        <v>0</v>
      </c>
      <c r="R113" s="156">
        <v>0</v>
      </c>
      <c r="S113" s="151" t="s">
        <v>83</v>
      </c>
      <c r="T113" s="150" t="s">
        <v>256</v>
      </c>
      <c r="U113" s="150" t="s">
        <v>357</v>
      </c>
      <c r="V113" s="151" t="s">
        <v>432</v>
      </c>
      <c r="W113" s="151"/>
      <c r="X113" s="159">
        <v>44771</v>
      </c>
      <c r="Y113" s="151">
        <v>2022</v>
      </c>
      <c r="Z113" s="151">
        <v>7</v>
      </c>
      <c r="AA113" s="151">
        <v>29</v>
      </c>
    </row>
    <row r="114" spans="1:27" x14ac:dyDescent="0.55000000000000004">
      <c r="A114" s="151">
        <v>126</v>
      </c>
      <c r="B114" s="150"/>
      <c r="C114" s="152">
        <v>1430000</v>
      </c>
      <c r="D114" s="152">
        <v>1430000</v>
      </c>
      <c r="E114" s="152">
        <v>1430000</v>
      </c>
      <c r="F114" s="152">
        <v>0</v>
      </c>
      <c r="G114" s="152">
        <v>1430000</v>
      </c>
      <c r="H114" s="152">
        <v>1430000</v>
      </c>
      <c r="I114" s="152">
        <v>1430000</v>
      </c>
      <c r="J114" s="152">
        <v>1430000</v>
      </c>
      <c r="K114" s="152">
        <v>1430000</v>
      </c>
      <c r="L114" s="152">
        <v>1430000</v>
      </c>
      <c r="M114" s="150" t="s">
        <v>252</v>
      </c>
      <c r="N114" s="154">
        <v>1</v>
      </c>
      <c r="O114" s="156">
        <v>4</v>
      </c>
      <c r="P114" s="151" t="s">
        <v>253</v>
      </c>
      <c r="Q114" s="154">
        <v>0</v>
      </c>
      <c r="R114" s="156">
        <v>0</v>
      </c>
      <c r="S114" s="151" t="s">
        <v>83</v>
      </c>
      <c r="T114" s="150" t="s">
        <v>264</v>
      </c>
      <c r="U114" s="150" t="s">
        <v>358</v>
      </c>
      <c r="V114" s="151" t="s">
        <v>432</v>
      </c>
      <c r="W114" s="151"/>
      <c r="X114" s="159">
        <v>44771</v>
      </c>
      <c r="Y114" s="151">
        <v>2022</v>
      </c>
      <c r="Z114" s="151">
        <v>7</v>
      </c>
      <c r="AA114" s="151">
        <v>29</v>
      </c>
    </row>
    <row r="115" spans="1:27" x14ac:dyDescent="0.55000000000000004">
      <c r="A115" s="151">
        <v>127</v>
      </c>
      <c r="B115" s="150"/>
      <c r="C115" s="152">
        <v>1603000</v>
      </c>
      <c r="D115" s="152">
        <v>1603000</v>
      </c>
      <c r="E115" s="152">
        <v>1603410</v>
      </c>
      <c r="F115" s="152">
        <v>0</v>
      </c>
      <c r="G115" s="152">
        <v>1603410</v>
      </c>
      <c r="H115" s="152">
        <v>1603410</v>
      </c>
      <c r="I115" s="152">
        <v>1603410</v>
      </c>
      <c r="J115" s="152">
        <v>1603410</v>
      </c>
      <c r="K115" s="152">
        <v>1603410</v>
      </c>
      <c r="L115" s="152">
        <v>1603000</v>
      </c>
      <c r="M115" s="150" t="s">
        <v>252</v>
      </c>
      <c r="N115" s="154">
        <v>1</v>
      </c>
      <c r="O115" s="156">
        <v>25</v>
      </c>
      <c r="P115" s="151" t="s">
        <v>253</v>
      </c>
      <c r="Q115" s="154">
        <v>0</v>
      </c>
      <c r="R115" s="156">
        <v>0</v>
      </c>
      <c r="S115" s="151" t="s">
        <v>83</v>
      </c>
      <c r="T115" s="150" t="s">
        <v>283</v>
      </c>
      <c r="U115" s="150" t="s">
        <v>359</v>
      </c>
      <c r="V115" s="151" t="s">
        <v>432</v>
      </c>
      <c r="W115" s="151"/>
      <c r="X115" s="159">
        <v>44771</v>
      </c>
      <c r="Y115" s="151">
        <v>2022</v>
      </c>
      <c r="Z115" s="151">
        <v>7</v>
      </c>
      <c r="AA115" s="151">
        <v>29</v>
      </c>
    </row>
    <row r="116" spans="1:27" x14ac:dyDescent="0.55000000000000004">
      <c r="A116" s="151">
        <v>128</v>
      </c>
      <c r="B116" s="150"/>
      <c r="C116" s="152">
        <v>1408000</v>
      </c>
      <c r="D116" s="152">
        <v>1408000</v>
      </c>
      <c r="E116" s="152">
        <v>1408687</v>
      </c>
      <c r="F116" s="152">
        <v>0</v>
      </c>
      <c r="G116" s="152">
        <v>1408687</v>
      </c>
      <c r="H116" s="152">
        <v>1408687</v>
      </c>
      <c r="I116" s="152">
        <v>1408687</v>
      </c>
      <c r="J116" s="152">
        <v>1408687</v>
      </c>
      <c r="K116" s="152">
        <v>1408687</v>
      </c>
      <c r="L116" s="152">
        <v>1408000</v>
      </c>
      <c r="M116" s="150" t="s">
        <v>252</v>
      </c>
      <c r="N116" s="154">
        <v>1</v>
      </c>
      <c r="O116" s="156">
        <v>4</v>
      </c>
      <c r="P116" s="151" t="s">
        <v>253</v>
      </c>
      <c r="Q116" s="154">
        <v>0</v>
      </c>
      <c r="R116" s="156">
        <v>0</v>
      </c>
      <c r="S116" s="151" t="s">
        <v>83</v>
      </c>
      <c r="T116" s="150" t="s">
        <v>266</v>
      </c>
      <c r="U116" s="150" t="s">
        <v>360</v>
      </c>
      <c r="V116" s="151" t="s">
        <v>432</v>
      </c>
      <c r="W116" s="151"/>
      <c r="X116" s="159">
        <v>44771</v>
      </c>
      <c r="Y116" s="151">
        <v>2022</v>
      </c>
      <c r="Z116" s="151">
        <v>7</v>
      </c>
      <c r="AA116" s="151">
        <v>29</v>
      </c>
    </row>
    <row r="117" spans="1:27" x14ac:dyDescent="0.55000000000000004">
      <c r="A117" s="151">
        <v>129</v>
      </c>
      <c r="B117" s="150"/>
      <c r="C117" s="152">
        <v>1430000</v>
      </c>
      <c r="D117" s="152">
        <v>1430000</v>
      </c>
      <c r="E117" s="152">
        <v>1430000</v>
      </c>
      <c r="F117" s="152">
        <v>0</v>
      </c>
      <c r="G117" s="152">
        <v>1430000</v>
      </c>
      <c r="H117" s="152">
        <v>1430000</v>
      </c>
      <c r="I117" s="152">
        <v>1430000</v>
      </c>
      <c r="J117" s="152">
        <v>1430000</v>
      </c>
      <c r="K117" s="152">
        <v>1430000</v>
      </c>
      <c r="L117" s="152">
        <v>1430000</v>
      </c>
      <c r="M117" s="150" t="s">
        <v>252</v>
      </c>
      <c r="N117" s="154">
        <v>1</v>
      </c>
      <c r="O117" s="156">
        <v>15</v>
      </c>
      <c r="P117" s="151" t="s">
        <v>253</v>
      </c>
      <c r="Q117" s="154">
        <v>0</v>
      </c>
      <c r="R117" s="156">
        <v>0</v>
      </c>
      <c r="S117" s="151" t="s">
        <v>83</v>
      </c>
      <c r="T117" s="150" t="s">
        <v>318</v>
      </c>
      <c r="U117" s="150" t="s">
        <v>284</v>
      </c>
      <c r="V117" s="151" t="s">
        <v>432</v>
      </c>
      <c r="W117" s="151"/>
      <c r="X117" s="159">
        <v>44771</v>
      </c>
      <c r="Y117" s="151">
        <v>2022</v>
      </c>
      <c r="Z117" s="151">
        <v>7</v>
      </c>
      <c r="AA117" s="151">
        <v>29</v>
      </c>
    </row>
    <row r="118" spans="1:27" x14ac:dyDescent="0.55000000000000004">
      <c r="A118" s="151">
        <v>130</v>
      </c>
      <c r="B118" s="150"/>
      <c r="C118" s="152">
        <v>1463000</v>
      </c>
      <c r="D118" s="152">
        <v>1463000</v>
      </c>
      <c r="E118" s="152">
        <v>1463000</v>
      </c>
      <c r="F118" s="152">
        <v>0</v>
      </c>
      <c r="G118" s="152">
        <v>1463000</v>
      </c>
      <c r="H118" s="152">
        <v>1463000</v>
      </c>
      <c r="I118" s="152">
        <v>1463000</v>
      </c>
      <c r="J118" s="152">
        <v>1463000</v>
      </c>
      <c r="K118" s="152">
        <v>1463000</v>
      </c>
      <c r="L118" s="152">
        <v>1463000</v>
      </c>
      <c r="M118" s="150" t="s">
        <v>252</v>
      </c>
      <c r="N118" s="154">
        <v>1</v>
      </c>
      <c r="O118" s="156">
        <v>6</v>
      </c>
      <c r="P118" s="151" t="s">
        <v>253</v>
      </c>
      <c r="Q118" s="154">
        <v>0</v>
      </c>
      <c r="R118" s="156">
        <v>0</v>
      </c>
      <c r="S118" s="151" t="s">
        <v>83</v>
      </c>
      <c r="T118" s="150" t="s">
        <v>266</v>
      </c>
      <c r="U118" s="150" t="s">
        <v>275</v>
      </c>
      <c r="V118" s="151" t="s">
        <v>432</v>
      </c>
      <c r="W118" s="151"/>
      <c r="X118" s="159">
        <v>44771</v>
      </c>
      <c r="Y118" s="151">
        <v>2022</v>
      </c>
      <c r="Z118" s="151">
        <v>7</v>
      </c>
      <c r="AA118" s="151">
        <v>29</v>
      </c>
    </row>
    <row r="119" spans="1:27" x14ac:dyDescent="0.55000000000000004">
      <c r="A119" s="151">
        <v>131</v>
      </c>
      <c r="B119" s="150"/>
      <c r="C119" s="152">
        <v>1437000</v>
      </c>
      <c r="D119" s="152">
        <v>1437000</v>
      </c>
      <c r="E119" s="152">
        <v>1437700</v>
      </c>
      <c r="F119" s="152">
        <v>0</v>
      </c>
      <c r="G119" s="152">
        <v>1437700</v>
      </c>
      <c r="H119" s="152">
        <v>1437700</v>
      </c>
      <c r="I119" s="152">
        <v>1437700</v>
      </c>
      <c r="J119" s="152">
        <v>1437700</v>
      </c>
      <c r="K119" s="152">
        <v>1437700</v>
      </c>
      <c r="L119" s="152">
        <v>1437000</v>
      </c>
      <c r="M119" s="150" t="s">
        <v>252</v>
      </c>
      <c r="N119" s="154">
        <v>1</v>
      </c>
      <c r="O119" s="156">
        <v>20</v>
      </c>
      <c r="P119" s="151" t="s">
        <v>253</v>
      </c>
      <c r="Q119" s="154">
        <v>0</v>
      </c>
      <c r="R119" s="156">
        <v>0</v>
      </c>
      <c r="S119" s="151" t="s">
        <v>83</v>
      </c>
      <c r="T119" s="150" t="s">
        <v>258</v>
      </c>
      <c r="U119" s="150" t="s">
        <v>285</v>
      </c>
      <c r="V119" s="151" t="s">
        <v>432</v>
      </c>
      <c r="W119" s="151"/>
      <c r="X119" s="159">
        <v>44771</v>
      </c>
      <c r="Y119" s="151">
        <v>2022</v>
      </c>
      <c r="Z119" s="151">
        <v>7</v>
      </c>
      <c r="AA119" s="151">
        <v>29</v>
      </c>
    </row>
    <row r="120" spans="1:27" x14ac:dyDescent="0.55000000000000004">
      <c r="A120" s="151">
        <v>132</v>
      </c>
      <c r="B120" s="150"/>
      <c r="C120" s="152">
        <v>495000</v>
      </c>
      <c r="D120" s="152">
        <v>495000</v>
      </c>
      <c r="E120" s="152">
        <v>495000</v>
      </c>
      <c r="F120" s="152">
        <v>0</v>
      </c>
      <c r="G120" s="152">
        <v>495000</v>
      </c>
      <c r="H120" s="152">
        <v>495000</v>
      </c>
      <c r="I120" s="152">
        <v>495000</v>
      </c>
      <c r="J120" s="152">
        <v>495000</v>
      </c>
      <c r="K120" s="152">
        <v>495000</v>
      </c>
      <c r="L120" s="152">
        <v>495000</v>
      </c>
      <c r="M120" s="150" t="s">
        <v>269</v>
      </c>
      <c r="N120" s="154">
        <v>1</v>
      </c>
      <c r="O120" s="156">
        <v>5</v>
      </c>
      <c r="P120" s="151" t="s">
        <v>253</v>
      </c>
      <c r="Q120" s="154">
        <v>0</v>
      </c>
      <c r="R120" s="156">
        <v>0</v>
      </c>
      <c r="S120" s="151" t="s">
        <v>83</v>
      </c>
      <c r="T120" s="150" t="s">
        <v>266</v>
      </c>
      <c r="U120" s="150" t="s">
        <v>361</v>
      </c>
      <c r="V120" s="151" t="s">
        <v>432</v>
      </c>
      <c r="W120" s="151"/>
      <c r="X120" s="159">
        <v>44771</v>
      </c>
      <c r="Y120" s="151">
        <v>2022</v>
      </c>
      <c r="Z120" s="151">
        <v>7</v>
      </c>
      <c r="AA120" s="151">
        <v>29</v>
      </c>
    </row>
    <row r="121" spans="1:27" x14ac:dyDescent="0.55000000000000004">
      <c r="A121" s="151">
        <v>133</v>
      </c>
      <c r="B121" s="150"/>
      <c r="C121" s="152">
        <v>1232000</v>
      </c>
      <c r="D121" s="152">
        <v>1232000</v>
      </c>
      <c r="E121" s="152">
        <v>1232000</v>
      </c>
      <c r="F121" s="152">
        <v>0</v>
      </c>
      <c r="G121" s="152">
        <v>1232000</v>
      </c>
      <c r="H121" s="152">
        <v>1232000</v>
      </c>
      <c r="I121" s="152">
        <v>1232000</v>
      </c>
      <c r="J121" s="152">
        <v>1232000</v>
      </c>
      <c r="K121" s="152">
        <v>1232000</v>
      </c>
      <c r="L121" s="152">
        <v>1232000</v>
      </c>
      <c r="M121" s="150" t="s">
        <v>252</v>
      </c>
      <c r="N121" s="154">
        <v>1</v>
      </c>
      <c r="O121" s="156">
        <v>10</v>
      </c>
      <c r="P121" s="151" t="s">
        <v>253</v>
      </c>
      <c r="Q121" s="154">
        <v>0</v>
      </c>
      <c r="R121" s="156">
        <v>0</v>
      </c>
      <c r="S121" s="151" t="s">
        <v>83</v>
      </c>
      <c r="T121" s="150" t="s">
        <v>266</v>
      </c>
      <c r="U121" s="150" t="s">
        <v>267</v>
      </c>
      <c r="V121" s="151" t="s">
        <v>432</v>
      </c>
      <c r="W121" s="151"/>
      <c r="X121" s="159">
        <v>44771</v>
      </c>
      <c r="Y121" s="151">
        <v>2022</v>
      </c>
      <c r="Z121" s="151">
        <v>7</v>
      </c>
      <c r="AA121" s="151">
        <v>29</v>
      </c>
    </row>
    <row r="122" spans="1:27" x14ac:dyDescent="0.55000000000000004">
      <c r="A122" s="151">
        <v>134</v>
      </c>
      <c r="B122" s="150"/>
      <c r="C122" s="152">
        <v>1298000</v>
      </c>
      <c r="D122" s="152">
        <v>1298000</v>
      </c>
      <c r="E122" s="152">
        <v>1298000</v>
      </c>
      <c r="F122" s="152">
        <v>0</v>
      </c>
      <c r="G122" s="152">
        <v>1298000</v>
      </c>
      <c r="H122" s="152">
        <v>1298000</v>
      </c>
      <c r="I122" s="152">
        <v>1298000</v>
      </c>
      <c r="J122" s="152">
        <v>1298000</v>
      </c>
      <c r="K122" s="152">
        <v>1298000</v>
      </c>
      <c r="L122" s="152">
        <v>1298000</v>
      </c>
      <c r="M122" s="150" t="s">
        <v>252</v>
      </c>
      <c r="N122" s="154">
        <v>1</v>
      </c>
      <c r="O122" s="156">
        <v>6</v>
      </c>
      <c r="P122" s="151" t="s">
        <v>253</v>
      </c>
      <c r="Q122" s="154">
        <v>0</v>
      </c>
      <c r="R122" s="156">
        <v>0</v>
      </c>
      <c r="S122" s="151" t="s">
        <v>83</v>
      </c>
      <c r="T122" s="150" t="s">
        <v>260</v>
      </c>
      <c r="U122" s="150" t="s">
        <v>362</v>
      </c>
      <c r="V122" s="151" t="s">
        <v>432</v>
      </c>
      <c r="W122" s="151"/>
      <c r="X122" s="159">
        <v>44771</v>
      </c>
      <c r="Y122" s="151">
        <v>2022</v>
      </c>
      <c r="Z122" s="151">
        <v>7</v>
      </c>
      <c r="AA122" s="151">
        <v>29</v>
      </c>
    </row>
    <row r="123" spans="1:27" x14ac:dyDescent="0.55000000000000004">
      <c r="A123" s="151">
        <v>135</v>
      </c>
      <c r="B123" s="150"/>
      <c r="C123" s="152">
        <v>1518000</v>
      </c>
      <c r="D123" s="152">
        <v>1518000</v>
      </c>
      <c r="E123" s="152">
        <v>1518000</v>
      </c>
      <c r="F123" s="152">
        <v>0</v>
      </c>
      <c r="G123" s="152">
        <v>1518000</v>
      </c>
      <c r="H123" s="152">
        <v>1518000</v>
      </c>
      <c r="I123" s="152">
        <v>1518000</v>
      </c>
      <c r="J123" s="152">
        <v>1518000</v>
      </c>
      <c r="K123" s="152">
        <v>1518000</v>
      </c>
      <c r="L123" s="152">
        <v>1518000</v>
      </c>
      <c r="M123" s="150" t="s">
        <v>252</v>
      </c>
      <c r="N123" s="154">
        <v>1</v>
      </c>
      <c r="O123" s="156">
        <v>5</v>
      </c>
      <c r="P123" s="151" t="s">
        <v>253</v>
      </c>
      <c r="Q123" s="154">
        <v>0</v>
      </c>
      <c r="R123" s="156">
        <v>0</v>
      </c>
      <c r="S123" s="151" t="s">
        <v>83</v>
      </c>
      <c r="T123" s="150" t="s">
        <v>266</v>
      </c>
      <c r="U123" s="150" t="s">
        <v>328</v>
      </c>
      <c r="V123" s="151" t="s">
        <v>432</v>
      </c>
      <c r="W123" s="151"/>
      <c r="X123" s="159">
        <v>44771</v>
      </c>
      <c r="Y123" s="151">
        <v>2022</v>
      </c>
      <c r="Z123" s="151">
        <v>7</v>
      </c>
      <c r="AA123" s="151">
        <v>29</v>
      </c>
    </row>
    <row r="124" spans="1:27" x14ac:dyDescent="0.55000000000000004">
      <c r="A124" s="151">
        <v>139</v>
      </c>
      <c r="B124" s="150"/>
      <c r="C124" s="152">
        <v>1166000</v>
      </c>
      <c r="D124" s="152">
        <v>1166000</v>
      </c>
      <c r="E124" s="152">
        <v>1166000</v>
      </c>
      <c r="F124" s="152">
        <v>0</v>
      </c>
      <c r="G124" s="152">
        <v>1166000</v>
      </c>
      <c r="H124" s="152">
        <v>1166000</v>
      </c>
      <c r="I124" s="152">
        <v>1166000</v>
      </c>
      <c r="J124" s="152">
        <v>1166000</v>
      </c>
      <c r="K124" s="152">
        <v>1166000</v>
      </c>
      <c r="L124" s="152">
        <v>1166000</v>
      </c>
      <c r="M124" s="150" t="s">
        <v>252</v>
      </c>
      <c r="N124" s="154">
        <v>1</v>
      </c>
      <c r="O124" s="156">
        <v>5</v>
      </c>
      <c r="P124" s="151" t="s">
        <v>253</v>
      </c>
      <c r="Q124" s="154">
        <v>0</v>
      </c>
      <c r="R124" s="156">
        <v>0</v>
      </c>
      <c r="S124" s="151" t="s">
        <v>83</v>
      </c>
      <c r="T124" s="150" t="s">
        <v>266</v>
      </c>
      <c r="U124" s="150" t="s">
        <v>328</v>
      </c>
      <c r="V124" s="151" t="s">
        <v>432</v>
      </c>
      <c r="W124" s="151"/>
      <c r="X124" s="159">
        <v>44771</v>
      </c>
      <c r="Y124" s="151">
        <v>2022</v>
      </c>
      <c r="Z124" s="151">
        <v>7</v>
      </c>
      <c r="AA124" s="151">
        <v>29</v>
      </c>
    </row>
    <row r="125" spans="1:27" x14ac:dyDescent="0.55000000000000004">
      <c r="A125" s="151">
        <v>140</v>
      </c>
      <c r="B125" s="150"/>
      <c r="C125" s="152">
        <v>1100000</v>
      </c>
      <c r="D125" s="152">
        <v>1100000</v>
      </c>
      <c r="E125" s="152">
        <v>1100000</v>
      </c>
      <c r="F125" s="152">
        <v>0</v>
      </c>
      <c r="G125" s="152">
        <v>1100000</v>
      </c>
      <c r="H125" s="152">
        <v>1100000</v>
      </c>
      <c r="I125" s="152">
        <v>1100000</v>
      </c>
      <c r="J125" s="152">
        <v>1100000</v>
      </c>
      <c r="K125" s="152">
        <v>1100000</v>
      </c>
      <c r="L125" s="152">
        <v>1100000</v>
      </c>
      <c r="M125" s="150" t="s">
        <v>252</v>
      </c>
      <c r="N125" s="154">
        <v>1</v>
      </c>
      <c r="O125" s="156">
        <v>15</v>
      </c>
      <c r="P125" s="151" t="s">
        <v>253</v>
      </c>
      <c r="Q125" s="154">
        <v>0</v>
      </c>
      <c r="R125" s="156">
        <v>0</v>
      </c>
      <c r="S125" s="151" t="s">
        <v>83</v>
      </c>
      <c r="T125" s="150" t="s">
        <v>254</v>
      </c>
      <c r="U125" s="150" t="s">
        <v>363</v>
      </c>
      <c r="V125" s="151" t="s">
        <v>432</v>
      </c>
      <c r="W125" s="151"/>
      <c r="X125" s="159">
        <v>44771</v>
      </c>
      <c r="Y125" s="151">
        <v>2022</v>
      </c>
      <c r="Z125" s="151">
        <v>7</v>
      </c>
      <c r="AA125" s="151">
        <v>29</v>
      </c>
    </row>
    <row r="126" spans="1:27" x14ac:dyDescent="0.55000000000000004">
      <c r="A126" s="151">
        <v>141</v>
      </c>
      <c r="B126" s="150"/>
      <c r="C126" s="152">
        <v>2200000</v>
      </c>
      <c r="D126" s="152">
        <v>2200000</v>
      </c>
      <c r="E126" s="152">
        <v>2200000</v>
      </c>
      <c r="F126" s="152">
        <v>0</v>
      </c>
      <c r="G126" s="152">
        <v>2200000</v>
      </c>
      <c r="H126" s="152">
        <v>2200000</v>
      </c>
      <c r="I126" s="152">
        <v>2200000</v>
      </c>
      <c r="J126" s="152">
        <v>2200000</v>
      </c>
      <c r="K126" s="152">
        <v>2200000</v>
      </c>
      <c r="L126" s="152">
        <v>2200000</v>
      </c>
      <c r="M126" s="150" t="s">
        <v>252</v>
      </c>
      <c r="N126" s="154">
        <v>2</v>
      </c>
      <c r="O126" s="156">
        <v>12</v>
      </c>
      <c r="P126" s="151" t="s">
        <v>253</v>
      </c>
      <c r="Q126" s="154">
        <v>0</v>
      </c>
      <c r="R126" s="156">
        <v>0</v>
      </c>
      <c r="S126" s="151" t="s">
        <v>83</v>
      </c>
      <c r="T126" s="150" t="s">
        <v>274</v>
      </c>
      <c r="U126" s="150" t="s">
        <v>364</v>
      </c>
      <c r="V126" s="151" t="s">
        <v>432</v>
      </c>
      <c r="W126" s="151"/>
      <c r="X126" s="159">
        <v>44771</v>
      </c>
      <c r="Y126" s="151">
        <v>2022</v>
      </c>
      <c r="Z126" s="151">
        <v>7</v>
      </c>
      <c r="AA126" s="151">
        <v>29</v>
      </c>
    </row>
    <row r="127" spans="1:27" x14ac:dyDescent="0.55000000000000004">
      <c r="A127" s="151">
        <v>142</v>
      </c>
      <c r="B127" s="150"/>
      <c r="C127" s="152">
        <v>1122000</v>
      </c>
      <c r="D127" s="152">
        <v>1122000</v>
      </c>
      <c r="E127" s="152">
        <v>1122000</v>
      </c>
      <c r="F127" s="152">
        <v>0</v>
      </c>
      <c r="G127" s="152">
        <v>1122000</v>
      </c>
      <c r="H127" s="152">
        <v>1122000</v>
      </c>
      <c r="I127" s="152">
        <v>1122000</v>
      </c>
      <c r="J127" s="152">
        <v>1122000</v>
      </c>
      <c r="K127" s="152">
        <v>1122000</v>
      </c>
      <c r="L127" s="152">
        <v>1122000</v>
      </c>
      <c r="M127" s="150" t="s">
        <v>252</v>
      </c>
      <c r="N127" s="154">
        <v>1</v>
      </c>
      <c r="O127" s="156">
        <v>24</v>
      </c>
      <c r="P127" s="151" t="s">
        <v>253</v>
      </c>
      <c r="Q127" s="154">
        <v>0</v>
      </c>
      <c r="R127" s="156">
        <v>0</v>
      </c>
      <c r="S127" s="151" t="s">
        <v>83</v>
      </c>
      <c r="T127" s="150" t="s">
        <v>365</v>
      </c>
      <c r="U127" s="150" t="s">
        <v>366</v>
      </c>
      <c r="V127" s="151" t="s">
        <v>432</v>
      </c>
      <c r="W127" s="151"/>
      <c r="X127" s="159">
        <v>44771</v>
      </c>
      <c r="Y127" s="151">
        <v>2022</v>
      </c>
      <c r="Z127" s="151">
        <v>7</v>
      </c>
      <c r="AA127" s="151">
        <v>29</v>
      </c>
    </row>
    <row r="128" spans="1:27" x14ac:dyDescent="0.55000000000000004">
      <c r="A128" s="151">
        <v>143</v>
      </c>
      <c r="B128" s="150"/>
      <c r="C128" s="152">
        <v>1496000</v>
      </c>
      <c r="D128" s="152">
        <v>1496000</v>
      </c>
      <c r="E128" s="152">
        <v>1496000</v>
      </c>
      <c r="F128" s="152">
        <v>0</v>
      </c>
      <c r="G128" s="152">
        <v>1496000</v>
      </c>
      <c r="H128" s="152">
        <v>1496000</v>
      </c>
      <c r="I128" s="152">
        <v>1496000</v>
      </c>
      <c r="J128" s="152">
        <v>1496000</v>
      </c>
      <c r="K128" s="152">
        <v>1496000</v>
      </c>
      <c r="L128" s="152">
        <v>1496000</v>
      </c>
      <c r="M128" s="150" t="s">
        <v>252</v>
      </c>
      <c r="N128" s="154">
        <v>1</v>
      </c>
      <c r="O128" s="156">
        <v>24</v>
      </c>
      <c r="P128" s="151" t="s">
        <v>253</v>
      </c>
      <c r="Q128" s="154">
        <v>0</v>
      </c>
      <c r="R128" s="156">
        <v>0</v>
      </c>
      <c r="S128" s="151" t="s">
        <v>83</v>
      </c>
      <c r="T128" s="150" t="s">
        <v>276</v>
      </c>
      <c r="U128" s="150" t="s">
        <v>367</v>
      </c>
      <c r="V128" s="151" t="s">
        <v>432</v>
      </c>
      <c r="W128" s="151"/>
      <c r="X128" s="159">
        <v>44771</v>
      </c>
      <c r="Y128" s="151">
        <v>2022</v>
      </c>
      <c r="Z128" s="151">
        <v>7</v>
      </c>
      <c r="AA128" s="151">
        <v>29</v>
      </c>
    </row>
    <row r="129" spans="1:27" x14ac:dyDescent="0.55000000000000004">
      <c r="A129" s="151">
        <v>144</v>
      </c>
      <c r="B129" s="150"/>
      <c r="C129" s="152">
        <v>1430000</v>
      </c>
      <c r="D129" s="152">
        <v>1430000</v>
      </c>
      <c r="E129" s="152">
        <v>1430000</v>
      </c>
      <c r="F129" s="152">
        <v>0</v>
      </c>
      <c r="G129" s="152">
        <v>1430000</v>
      </c>
      <c r="H129" s="152">
        <v>1430000</v>
      </c>
      <c r="I129" s="152">
        <v>1430000</v>
      </c>
      <c r="J129" s="152">
        <v>1430000</v>
      </c>
      <c r="K129" s="152">
        <v>1430000</v>
      </c>
      <c r="L129" s="152">
        <v>1430000</v>
      </c>
      <c r="M129" s="150" t="s">
        <v>252</v>
      </c>
      <c r="N129" s="154">
        <v>1</v>
      </c>
      <c r="O129" s="156">
        <v>12</v>
      </c>
      <c r="P129" s="151" t="s">
        <v>253</v>
      </c>
      <c r="Q129" s="154">
        <v>0</v>
      </c>
      <c r="R129" s="156">
        <v>0</v>
      </c>
      <c r="S129" s="151" t="s">
        <v>83</v>
      </c>
      <c r="T129" s="150" t="s">
        <v>266</v>
      </c>
      <c r="U129" s="150" t="s">
        <v>305</v>
      </c>
      <c r="V129" s="151" t="s">
        <v>432</v>
      </c>
      <c r="W129" s="151"/>
      <c r="X129" s="159">
        <v>44771</v>
      </c>
      <c r="Y129" s="151">
        <v>2022</v>
      </c>
      <c r="Z129" s="151">
        <v>7</v>
      </c>
      <c r="AA129" s="151">
        <v>29</v>
      </c>
    </row>
    <row r="130" spans="1:27" x14ac:dyDescent="0.55000000000000004">
      <c r="A130" s="151">
        <v>145</v>
      </c>
      <c r="B130" s="150"/>
      <c r="C130" s="152">
        <v>1485000</v>
      </c>
      <c r="D130" s="152">
        <v>1485000</v>
      </c>
      <c r="E130" s="152">
        <v>1485000</v>
      </c>
      <c r="F130" s="152">
        <v>0</v>
      </c>
      <c r="G130" s="152">
        <v>1485000</v>
      </c>
      <c r="H130" s="152">
        <v>1485000</v>
      </c>
      <c r="I130" s="152">
        <v>1485000</v>
      </c>
      <c r="J130" s="152">
        <v>1485000</v>
      </c>
      <c r="K130" s="152">
        <v>1485000</v>
      </c>
      <c r="L130" s="152">
        <v>1485000</v>
      </c>
      <c r="M130" s="150" t="s">
        <v>252</v>
      </c>
      <c r="N130" s="154">
        <v>1</v>
      </c>
      <c r="O130" s="156">
        <v>8</v>
      </c>
      <c r="P130" s="151" t="s">
        <v>253</v>
      </c>
      <c r="Q130" s="154">
        <v>0</v>
      </c>
      <c r="R130" s="156">
        <v>0</v>
      </c>
      <c r="S130" s="151" t="s">
        <v>83</v>
      </c>
      <c r="T130" s="150" t="s">
        <v>274</v>
      </c>
      <c r="U130" s="150" t="s">
        <v>309</v>
      </c>
      <c r="V130" s="151" t="s">
        <v>432</v>
      </c>
      <c r="W130" s="151"/>
      <c r="X130" s="159">
        <v>44771</v>
      </c>
      <c r="Y130" s="151">
        <v>2022</v>
      </c>
      <c r="Z130" s="151">
        <v>7</v>
      </c>
      <c r="AA130" s="151">
        <v>29</v>
      </c>
    </row>
    <row r="131" spans="1:27" x14ac:dyDescent="0.55000000000000004">
      <c r="A131" s="151">
        <v>147</v>
      </c>
      <c r="B131" s="150"/>
      <c r="C131" s="152">
        <v>1430000</v>
      </c>
      <c r="D131" s="152">
        <v>1430000</v>
      </c>
      <c r="E131" s="152">
        <v>1430000</v>
      </c>
      <c r="F131" s="152">
        <v>0</v>
      </c>
      <c r="G131" s="152">
        <v>1430000</v>
      </c>
      <c r="H131" s="152">
        <v>1430000</v>
      </c>
      <c r="I131" s="152">
        <v>1430000</v>
      </c>
      <c r="J131" s="152">
        <v>1430000</v>
      </c>
      <c r="K131" s="152">
        <v>1430000</v>
      </c>
      <c r="L131" s="152">
        <v>1430000</v>
      </c>
      <c r="M131" s="150" t="s">
        <v>252</v>
      </c>
      <c r="N131" s="154">
        <v>1</v>
      </c>
      <c r="O131" s="156">
        <v>15</v>
      </c>
      <c r="P131" s="151" t="s">
        <v>253</v>
      </c>
      <c r="Q131" s="154">
        <v>0</v>
      </c>
      <c r="R131" s="156">
        <v>0</v>
      </c>
      <c r="S131" s="151" t="s">
        <v>83</v>
      </c>
      <c r="T131" s="150" t="s">
        <v>256</v>
      </c>
      <c r="U131" s="150" t="s">
        <v>340</v>
      </c>
      <c r="V131" s="151" t="s">
        <v>432</v>
      </c>
      <c r="W131" s="151"/>
      <c r="X131" s="159">
        <v>44771</v>
      </c>
      <c r="Y131" s="151">
        <v>2022</v>
      </c>
      <c r="Z131" s="151">
        <v>7</v>
      </c>
      <c r="AA131" s="151">
        <v>29</v>
      </c>
    </row>
    <row r="132" spans="1:27" x14ac:dyDescent="0.55000000000000004">
      <c r="A132" s="151">
        <v>148</v>
      </c>
      <c r="B132" s="150"/>
      <c r="C132" s="152">
        <v>1430000</v>
      </c>
      <c r="D132" s="152">
        <v>1430000</v>
      </c>
      <c r="E132" s="152">
        <v>1430000</v>
      </c>
      <c r="F132" s="152">
        <v>0</v>
      </c>
      <c r="G132" s="152">
        <v>1430000</v>
      </c>
      <c r="H132" s="152">
        <v>1430000</v>
      </c>
      <c r="I132" s="152">
        <v>1430000</v>
      </c>
      <c r="J132" s="152">
        <v>1430000</v>
      </c>
      <c r="K132" s="152">
        <v>1430000</v>
      </c>
      <c r="L132" s="152">
        <v>1430000</v>
      </c>
      <c r="M132" s="150" t="s">
        <v>252</v>
      </c>
      <c r="N132" s="154">
        <v>1</v>
      </c>
      <c r="O132" s="156">
        <v>30</v>
      </c>
      <c r="P132" s="151" t="s">
        <v>253</v>
      </c>
      <c r="Q132" s="154">
        <v>0</v>
      </c>
      <c r="R132" s="156">
        <v>0</v>
      </c>
      <c r="S132" s="151" t="s">
        <v>83</v>
      </c>
      <c r="T132" s="150" t="s">
        <v>256</v>
      </c>
      <c r="U132" s="150" t="s">
        <v>340</v>
      </c>
      <c r="V132" s="151" t="s">
        <v>432</v>
      </c>
      <c r="W132" s="151"/>
      <c r="X132" s="159">
        <v>44771</v>
      </c>
      <c r="Y132" s="151">
        <v>2022</v>
      </c>
      <c r="Z132" s="151">
        <v>7</v>
      </c>
      <c r="AA132" s="151">
        <v>29</v>
      </c>
    </row>
    <row r="133" spans="1:27" x14ac:dyDescent="0.55000000000000004">
      <c r="A133" s="151">
        <v>149</v>
      </c>
      <c r="B133" s="150"/>
      <c r="C133" s="152">
        <v>1430000</v>
      </c>
      <c r="D133" s="152">
        <v>1430000</v>
      </c>
      <c r="E133" s="152">
        <v>1430000</v>
      </c>
      <c r="F133" s="152">
        <v>0</v>
      </c>
      <c r="G133" s="152">
        <v>1430000</v>
      </c>
      <c r="H133" s="152">
        <v>1430000</v>
      </c>
      <c r="I133" s="152">
        <v>1430000</v>
      </c>
      <c r="J133" s="152">
        <v>1430000</v>
      </c>
      <c r="K133" s="152">
        <v>1430000</v>
      </c>
      <c r="L133" s="152">
        <v>1430000</v>
      </c>
      <c r="M133" s="150" t="s">
        <v>252</v>
      </c>
      <c r="N133" s="154">
        <v>1</v>
      </c>
      <c r="O133" s="156">
        <v>20</v>
      </c>
      <c r="P133" s="151" t="s">
        <v>253</v>
      </c>
      <c r="Q133" s="154">
        <v>0</v>
      </c>
      <c r="R133" s="156">
        <v>0</v>
      </c>
      <c r="S133" s="151" t="s">
        <v>83</v>
      </c>
      <c r="T133" s="150" t="s">
        <v>256</v>
      </c>
      <c r="U133" s="150" t="s">
        <v>340</v>
      </c>
      <c r="V133" s="151" t="s">
        <v>432</v>
      </c>
      <c r="W133" s="151"/>
      <c r="X133" s="159">
        <v>44771</v>
      </c>
      <c r="Y133" s="151">
        <v>2022</v>
      </c>
      <c r="Z133" s="151">
        <v>7</v>
      </c>
      <c r="AA133" s="151">
        <v>29</v>
      </c>
    </row>
    <row r="134" spans="1:27" x14ac:dyDescent="0.55000000000000004">
      <c r="A134" s="151">
        <v>150</v>
      </c>
      <c r="B134" s="150"/>
      <c r="C134" s="152">
        <v>30030000</v>
      </c>
      <c r="D134" s="152">
        <v>30030000</v>
      </c>
      <c r="E134" s="152">
        <v>30030000</v>
      </c>
      <c r="F134" s="152">
        <v>0</v>
      </c>
      <c r="G134" s="152">
        <v>30030000</v>
      </c>
      <c r="H134" s="152">
        <v>30030000</v>
      </c>
      <c r="I134" s="152">
        <v>30030000</v>
      </c>
      <c r="J134" s="152">
        <v>30030000</v>
      </c>
      <c r="K134" s="152">
        <v>30030000</v>
      </c>
      <c r="L134" s="152">
        <v>30030000</v>
      </c>
      <c r="M134" s="150" t="s">
        <v>269</v>
      </c>
      <c r="N134" s="154">
        <v>1</v>
      </c>
      <c r="O134" s="156">
        <v>144</v>
      </c>
      <c r="P134" s="151" t="s">
        <v>253</v>
      </c>
      <c r="Q134" s="154">
        <v>0</v>
      </c>
      <c r="R134" s="156">
        <v>0</v>
      </c>
      <c r="S134" s="151" t="s">
        <v>83</v>
      </c>
      <c r="T134" s="150" t="s">
        <v>266</v>
      </c>
      <c r="U134" s="150" t="s">
        <v>305</v>
      </c>
      <c r="V134" s="151" t="s">
        <v>432</v>
      </c>
      <c r="W134" s="151"/>
      <c r="X134" s="159">
        <v>44771</v>
      </c>
      <c r="Y134" s="151">
        <v>2022</v>
      </c>
      <c r="Z134" s="151">
        <v>7</v>
      </c>
      <c r="AA134" s="151">
        <v>29</v>
      </c>
    </row>
    <row r="135" spans="1:27" x14ac:dyDescent="0.55000000000000004">
      <c r="A135" s="151">
        <v>151</v>
      </c>
      <c r="B135" s="150"/>
      <c r="C135" s="152">
        <v>1463000</v>
      </c>
      <c r="D135" s="152">
        <v>1463000</v>
      </c>
      <c r="E135" s="152">
        <v>1463000</v>
      </c>
      <c r="F135" s="152">
        <v>0</v>
      </c>
      <c r="G135" s="152">
        <v>1463000</v>
      </c>
      <c r="H135" s="152">
        <v>1463000</v>
      </c>
      <c r="I135" s="152">
        <v>1463000</v>
      </c>
      <c r="J135" s="152">
        <v>1463000</v>
      </c>
      <c r="K135" s="152">
        <v>1463000</v>
      </c>
      <c r="L135" s="152">
        <v>1463000</v>
      </c>
      <c r="M135" s="150" t="s">
        <v>252</v>
      </c>
      <c r="N135" s="154">
        <v>1</v>
      </c>
      <c r="O135" s="156">
        <v>6</v>
      </c>
      <c r="P135" s="151" t="s">
        <v>253</v>
      </c>
      <c r="Q135" s="154">
        <v>0</v>
      </c>
      <c r="R135" s="156">
        <v>0</v>
      </c>
      <c r="S135" s="151" t="s">
        <v>83</v>
      </c>
      <c r="T135" s="150" t="s">
        <v>276</v>
      </c>
      <c r="U135" s="150" t="s">
        <v>368</v>
      </c>
      <c r="V135" s="151" t="s">
        <v>432</v>
      </c>
      <c r="W135" s="151"/>
      <c r="X135" s="159">
        <v>44771</v>
      </c>
      <c r="Y135" s="151">
        <v>2022</v>
      </c>
      <c r="Z135" s="151">
        <v>7</v>
      </c>
      <c r="AA135" s="151">
        <v>29</v>
      </c>
    </row>
    <row r="136" spans="1:27" x14ac:dyDescent="0.55000000000000004">
      <c r="A136" s="151">
        <v>152</v>
      </c>
      <c r="B136" s="150"/>
      <c r="C136" s="152">
        <v>1056000</v>
      </c>
      <c r="D136" s="152">
        <v>1056000</v>
      </c>
      <c r="E136" s="152">
        <v>1056688</v>
      </c>
      <c r="F136" s="152">
        <v>0</v>
      </c>
      <c r="G136" s="152">
        <v>1056688</v>
      </c>
      <c r="H136" s="152">
        <v>1056688</v>
      </c>
      <c r="I136" s="152">
        <v>1056688</v>
      </c>
      <c r="J136" s="152">
        <v>1056688</v>
      </c>
      <c r="K136" s="152">
        <v>1056688</v>
      </c>
      <c r="L136" s="152">
        <v>1056000</v>
      </c>
      <c r="M136" s="150" t="s">
        <v>252</v>
      </c>
      <c r="N136" s="154">
        <v>1</v>
      </c>
      <c r="O136" s="156">
        <v>15</v>
      </c>
      <c r="P136" s="151" t="s">
        <v>253</v>
      </c>
      <c r="Q136" s="154">
        <v>0</v>
      </c>
      <c r="R136" s="156">
        <v>0</v>
      </c>
      <c r="S136" s="151" t="s">
        <v>83</v>
      </c>
      <c r="T136" s="150" t="s">
        <v>276</v>
      </c>
      <c r="U136" s="150" t="s">
        <v>369</v>
      </c>
      <c r="V136" s="151" t="s">
        <v>432</v>
      </c>
      <c r="W136" s="151"/>
      <c r="X136" s="159">
        <v>44771</v>
      </c>
      <c r="Y136" s="151">
        <v>2022</v>
      </c>
      <c r="Z136" s="151">
        <v>7</v>
      </c>
      <c r="AA136" s="151">
        <v>29</v>
      </c>
    </row>
    <row r="137" spans="1:27" x14ac:dyDescent="0.55000000000000004">
      <c r="A137" s="151">
        <v>153</v>
      </c>
      <c r="B137" s="150"/>
      <c r="C137" s="152">
        <v>10725000</v>
      </c>
      <c r="D137" s="152">
        <v>10725000</v>
      </c>
      <c r="E137" s="152">
        <v>10725000</v>
      </c>
      <c r="F137" s="152">
        <v>0</v>
      </c>
      <c r="G137" s="152">
        <v>10725000</v>
      </c>
      <c r="H137" s="152">
        <v>10725000</v>
      </c>
      <c r="I137" s="152">
        <v>10725000</v>
      </c>
      <c r="J137" s="152">
        <v>10725000</v>
      </c>
      <c r="K137" s="152">
        <v>10725000</v>
      </c>
      <c r="L137" s="152">
        <v>10725000</v>
      </c>
      <c r="M137" s="150" t="s">
        <v>269</v>
      </c>
      <c r="N137" s="154">
        <v>2</v>
      </c>
      <c r="O137" s="156">
        <v>20</v>
      </c>
      <c r="P137" s="151" t="s">
        <v>253</v>
      </c>
      <c r="Q137" s="154">
        <v>0</v>
      </c>
      <c r="R137" s="156">
        <v>0</v>
      </c>
      <c r="S137" s="151" t="s">
        <v>83</v>
      </c>
      <c r="T137" s="150" t="s">
        <v>256</v>
      </c>
      <c r="U137" s="150" t="s">
        <v>294</v>
      </c>
      <c r="V137" s="151" t="s">
        <v>432</v>
      </c>
      <c r="W137" s="151"/>
      <c r="X137" s="159">
        <v>44771</v>
      </c>
      <c r="Y137" s="151">
        <v>2022</v>
      </c>
      <c r="Z137" s="151">
        <v>7</v>
      </c>
      <c r="AA137" s="151">
        <v>29</v>
      </c>
    </row>
    <row r="138" spans="1:27" x14ac:dyDescent="0.55000000000000004">
      <c r="A138" s="151">
        <v>154</v>
      </c>
      <c r="B138" s="150"/>
      <c r="C138" s="152">
        <v>1483000</v>
      </c>
      <c r="D138" s="152">
        <v>1483000</v>
      </c>
      <c r="E138" s="152">
        <v>1483790</v>
      </c>
      <c r="F138" s="152">
        <v>0</v>
      </c>
      <c r="G138" s="152">
        <v>1483790</v>
      </c>
      <c r="H138" s="152">
        <v>1483790</v>
      </c>
      <c r="I138" s="152">
        <v>1483790</v>
      </c>
      <c r="J138" s="152">
        <v>1483790</v>
      </c>
      <c r="K138" s="152">
        <v>1483790</v>
      </c>
      <c r="L138" s="152">
        <v>1483000</v>
      </c>
      <c r="M138" s="150" t="s">
        <v>252</v>
      </c>
      <c r="N138" s="154">
        <v>1</v>
      </c>
      <c r="O138" s="156">
        <v>5</v>
      </c>
      <c r="P138" s="151" t="s">
        <v>253</v>
      </c>
      <c r="Q138" s="154">
        <v>0</v>
      </c>
      <c r="R138" s="156">
        <v>0</v>
      </c>
      <c r="S138" s="151" t="s">
        <v>83</v>
      </c>
      <c r="T138" s="150" t="s">
        <v>274</v>
      </c>
      <c r="U138" s="150" t="s">
        <v>313</v>
      </c>
      <c r="V138" s="151" t="s">
        <v>432</v>
      </c>
      <c r="W138" s="151"/>
      <c r="X138" s="159">
        <v>44771</v>
      </c>
      <c r="Y138" s="151">
        <v>2022</v>
      </c>
      <c r="Z138" s="151">
        <v>7</v>
      </c>
      <c r="AA138" s="151">
        <v>29</v>
      </c>
    </row>
    <row r="139" spans="1:27" x14ac:dyDescent="0.55000000000000004">
      <c r="A139" s="151">
        <v>156</v>
      </c>
      <c r="B139" s="150"/>
      <c r="C139" s="152">
        <v>1460000</v>
      </c>
      <c r="D139" s="152">
        <v>1460000</v>
      </c>
      <c r="E139" s="152">
        <v>1460800</v>
      </c>
      <c r="F139" s="152">
        <v>0</v>
      </c>
      <c r="G139" s="152">
        <v>1460800</v>
      </c>
      <c r="H139" s="152">
        <v>1460800</v>
      </c>
      <c r="I139" s="152">
        <v>1460800</v>
      </c>
      <c r="J139" s="152">
        <v>1460800</v>
      </c>
      <c r="K139" s="152">
        <v>1460800</v>
      </c>
      <c r="L139" s="152">
        <v>1460000</v>
      </c>
      <c r="M139" s="150" t="s">
        <v>252</v>
      </c>
      <c r="N139" s="154">
        <v>1</v>
      </c>
      <c r="O139" s="156">
        <v>15</v>
      </c>
      <c r="P139" s="151" t="s">
        <v>253</v>
      </c>
      <c r="Q139" s="154">
        <v>0</v>
      </c>
      <c r="R139" s="156">
        <v>0</v>
      </c>
      <c r="S139" s="151" t="s">
        <v>83</v>
      </c>
      <c r="T139" s="150" t="s">
        <v>333</v>
      </c>
      <c r="U139" s="150" t="s">
        <v>284</v>
      </c>
      <c r="V139" s="151" t="s">
        <v>432</v>
      </c>
      <c r="W139" s="151"/>
      <c r="X139" s="159">
        <v>44771</v>
      </c>
      <c r="Y139" s="151">
        <v>2022</v>
      </c>
      <c r="Z139" s="151">
        <v>7</v>
      </c>
      <c r="AA139" s="151">
        <v>29</v>
      </c>
    </row>
    <row r="140" spans="1:27" x14ac:dyDescent="0.55000000000000004">
      <c r="A140" s="151">
        <v>157</v>
      </c>
      <c r="B140" s="150"/>
      <c r="C140" s="152">
        <v>1463000</v>
      </c>
      <c r="D140" s="152">
        <v>1463000</v>
      </c>
      <c r="E140" s="152">
        <v>1463688</v>
      </c>
      <c r="F140" s="152">
        <v>0</v>
      </c>
      <c r="G140" s="152">
        <v>1463688</v>
      </c>
      <c r="H140" s="152">
        <v>1463688</v>
      </c>
      <c r="I140" s="152">
        <v>1463688</v>
      </c>
      <c r="J140" s="152">
        <v>1463688</v>
      </c>
      <c r="K140" s="152">
        <v>1463688</v>
      </c>
      <c r="L140" s="152">
        <v>1463000</v>
      </c>
      <c r="M140" s="150" t="s">
        <v>252</v>
      </c>
      <c r="N140" s="154">
        <v>1</v>
      </c>
      <c r="O140" s="156">
        <v>4</v>
      </c>
      <c r="P140" s="151" t="s">
        <v>253</v>
      </c>
      <c r="Q140" s="154">
        <v>0</v>
      </c>
      <c r="R140" s="156">
        <v>0</v>
      </c>
      <c r="S140" s="151" t="s">
        <v>83</v>
      </c>
      <c r="T140" s="150" t="s">
        <v>321</v>
      </c>
      <c r="U140" s="150" t="s">
        <v>284</v>
      </c>
      <c r="V140" s="151" t="s">
        <v>432</v>
      </c>
      <c r="W140" s="151"/>
      <c r="X140" s="159">
        <v>44771</v>
      </c>
      <c r="Y140" s="151">
        <v>2022</v>
      </c>
      <c r="Z140" s="151">
        <v>7</v>
      </c>
      <c r="AA140" s="151">
        <v>29</v>
      </c>
    </row>
    <row r="141" spans="1:27" x14ac:dyDescent="0.55000000000000004">
      <c r="A141" s="151">
        <v>158</v>
      </c>
      <c r="B141" s="150"/>
      <c r="C141" s="152">
        <v>1430000</v>
      </c>
      <c r="D141" s="152">
        <v>1430000</v>
      </c>
      <c r="E141" s="152">
        <v>1430000</v>
      </c>
      <c r="F141" s="152">
        <v>0</v>
      </c>
      <c r="G141" s="152">
        <v>1430000</v>
      </c>
      <c r="H141" s="152">
        <v>1430000</v>
      </c>
      <c r="I141" s="152">
        <v>1430000</v>
      </c>
      <c r="J141" s="152">
        <v>1430000</v>
      </c>
      <c r="K141" s="152">
        <v>1430000</v>
      </c>
      <c r="L141" s="152">
        <v>1430000</v>
      </c>
      <c r="M141" s="150" t="s">
        <v>252</v>
      </c>
      <c r="N141" s="154">
        <v>1</v>
      </c>
      <c r="O141" s="156">
        <v>8</v>
      </c>
      <c r="P141" s="151" t="s">
        <v>253</v>
      </c>
      <c r="Q141" s="154">
        <v>0</v>
      </c>
      <c r="R141" s="156">
        <v>0</v>
      </c>
      <c r="S141" s="151" t="s">
        <v>83</v>
      </c>
      <c r="T141" s="150" t="s">
        <v>266</v>
      </c>
      <c r="U141" s="150" t="s">
        <v>277</v>
      </c>
      <c r="V141" s="151" t="s">
        <v>432</v>
      </c>
      <c r="W141" s="151"/>
      <c r="X141" s="159">
        <v>44771</v>
      </c>
      <c r="Y141" s="151">
        <v>2022</v>
      </c>
      <c r="Z141" s="151">
        <v>7</v>
      </c>
      <c r="AA141" s="151">
        <v>29</v>
      </c>
    </row>
    <row r="142" spans="1:27" x14ac:dyDescent="0.55000000000000004">
      <c r="A142" s="151">
        <v>159</v>
      </c>
      <c r="B142" s="150"/>
      <c r="C142" s="152">
        <v>1540000</v>
      </c>
      <c r="D142" s="152">
        <v>1540000</v>
      </c>
      <c r="E142" s="152">
        <v>1540000</v>
      </c>
      <c r="F142" s="152">
        <v>0</v>
      </c>
      <c r="G142" s="152">
        <v>1540000</v>
      </c>
      <c r="H142" s="152">
        <v>1540000</v>
      </c>
      <c r="I142" s="152">
        <v>1540000</v>
      </c>
      <c r="J142" s="152">
        <v>1540000</v>
      </c>
      <c r="K142" s="152">
        <v>1540000</v>
      </c>
      <c r="L142" s="152">
        <v>1540000</v>
      </c>
      <c r="M142" s="150" t="s">
        <v>252</v>
      </c>
      <c r="N142" s="154">
        <v>1</v>
      </c>
      <c r="O142" s="156">
        <v>10</v>
      </c>
      <c r="P142" s="151" t="s">
        <v>253</v>
      </c>
      <c r="Q142" s="154">
        <v>0</v>
      </c>
      <c r="R142" s="156">
        <v>0</v>
      </c>
      <c r="S142" s="151" t="s">
        <v>83</v>
      </c>
      <c r="T142" s="150" t="s">
        <v>276</v>
      </c>
      <c r="U142" s="150" t="s">
        <v>301</v>
      </c>
      <c r="V142" s="151" t="s">
        <v>432</v>
      </c>
      <c r="W142" s="151"/>
      <c r="X142" s="159">
        <v>44771</v>
      </c>
      <c r="Y142" s="151">
        <v>2022</v>
      </c>
      <c r="Z142" s="151">
        <v>7</v>
      </c>
      <c r="AA142" s="151">
        <v>29</v>
      </c>
    </row>
    <row r="143" spans="1:27" x14ac:dyDescent="0.55000000000000004">
      <c r="A143" s="151">
        <v>160</v>
      </c>
      <c r="B143" s="150"/>
      <c r="C143" s="152">
        <v>1468000</v>
      </c>
      <c r="D143" s="152">
        <v>1468000</v>
      </c>
      <c r="E143" s="152">
        <v>1468881</v>
      </c>
      <c r="F143" s="152">
        <v>0</v>
      </c>
      <c r="G143" s="152">
        <v>1468881</v>
      </c>
      <c r="H143" s="152">
        <v>1468881</v>
      </c>
      <c r="I143" s="152">
        <v>1468881</v>
      </c>
      <c r="J143" s="152">
        <v>1468881</v>
      </c>
      <c r="K143" s="152">
        <v>1468881</v>
      </c>
      <c r="L143" s="152">
        <v>1468000</v>
      </c>
      <c r="M143" s="150" t="s">
        <v>252</v>
      </c>
      <c r="N143" s="154">
        <v>1</v>
      </c>
      <c r="O143" s="156">
        <v>28</v>
      </c>
      <c r="P143" s="151" t="s">
        <v>253</v>
      </c>
      <c r="Q143" s="154">
        <v>0</v>
      </c>
      <c r="R143" s="156">
        <v>0</v>
      </c>
      <c r="S143" s="151" t="s">
        <v>83</v>
      </c>
      <c r="T143" s="150" t="s">
        <v>254</v>
      </c>
      <c r="U143" s="150" t="s">
        <v>370</v>
      </c>
      <c r="V143" s="151" t="s">
        <v>432</v>
      </c>
      <c r="W143" s="151"/>
      <c r="X143" s="159">
        <v>44771</v>
      </c>
      <c r="Y143" s="151">
        <v>2022</v>
      </c>
      <c r="Z143" s="151">
        <v>7</v>
      </c>
      <c r="AA143" s="151">
        <v>29</v>
      </c>
    </row>
    <row r="144" spans="1:27" x14ac:dyDescent="0.55000000000000004">
      <c r="A144" s="151">
        <v>162</v>
      </c>
      <c r="B144" s="150"/>
      <c r="C144" s="152">
        <v>1569000</v>
      </c>
      <c r="D144" s="152">
        <v>1569000</v>
      </c>
      <c r="E144" s="152">
        <v>1569150</v>
      </c>
      <c r="F144" s="152">
        <v>0</v>
      </c>
      <c r="G144" s="152">
        <v>1569150</v>
      </c>
      <c r="H144" s="152">
        <v>1569150</v>
      </c>
      <c r="I144" s="152">
        <v>1569150</v>
      </c>
      <c r="J144" s="152">
        <v>1569150</v>
      </c>
      <c r="K144" s="152">
        <v>1569150</v>
      </c>
      <c r="L144" s="152">
        <v>1569000</v>
      </c>
      <c r="M144" s="150" t="s">
        <v>252</v>
      </c>
      <c r="N144" s="154">
        <v>1</v>
      </c>
      <c r="O144" s="156">
        <v>10</v>
      </c>
      <c r="P144" s="151" t="s">
        <v>253</v>
      </c>
      <c r="Q144" s="154">
        <v>0</v>
      </c>
      <c r="R144" s="156">
        <v>0</v>
      </c>
      <c r="S144" s="151" t="s">
        <v>83</v>
      </c>
      <c r="T144" s="150" t="s">
        <v>371</v>
      </c>
      <c r="U144" s="150" t="s">
        <v>372</v>
      </c>
      <c r="V144" s="151" t="s">
        <v>432</v>
      </c>
      <c r="W144" s="151"/>
      <c r="X144" s="159">
        <v>44771</v>
      </c>
      <c r="Y144" s="151">
        <v>2022</v>
      </c>
      <c r="Z144" s="151">
        <v>7</v>
      </c>
      <c r="AA144" s="151">
        <v>29</v>
      </c>
    </row>
    <row r="145" spans="1:27" x14ac:dyDescent="0.55000000000000004">
      <c r="A145" s="151">
        <v>163</v>
      </c>
      <c r="B145" s="150"/>
      <c r="C145" s="152">
        <v>1463000</v>
      </c>
      <c r="D145" s="152">
        <v>1463000</v>
      </c>
      <c r="E145" s="152">
        <v>1463688</v>
      </c>
      <c r="F145" s="152">
        <v>0</v>
      </c>
      <c r="G145" s="152">
        <v>1463688</v>
      </c>
      <c r="H145" s="152">
        <v>1463688</v>
      </c>
      <c r="I145" s="152">
        <v>1463688</v>
      </c>
      <c r="J145" s="152">
        <v>1463688</v>
      </c>
      <c r="K145" s="152">
        <v>1463688</v>
      </c>
      <c r="L145" s="152">
        <v>1463000</v>
      </c>
      <c r="M145" s="150" t="s">
        <v>252</v>
      </c>
      <c r="N145" s="154">
        <v>1</v>
      </c>
      <c r="O145" s="156">
        <v>1</v>
      </c>
      <c r="P145" s="151" t="s">
        <v>253</v>
      </c>
      <c r="Q145" s="154">
        <v>0</v>
      </c>
      <c r="R145" s="156">
        <v>0</v>
      </c>
      <c r="S145" s="151" t="s">
        <v>83</v>
      </c>
      <c r="T145" s="150" t="s">
        <v>258</v>
      </c>
      <c r="U145" s="150" t="s">
        <v>373</v>
      </c>
      <c r="V145" s="151" t="s">
        <v>432</v>
      </c>
      <c r="W145" s="151"/>
      <c r="X145" s="159">
        <v>44771</v>
      </c>
      <c r="Y145" s="151">
        <v>2022</v>
      </c>
      <c r="Z145" s="151">
        <v>7</v>
      </c>
      <c r="AA145" s="151">
        <v>29</v>
      </c>
    </row>
    <row r="146" spans="1:27" x14ac:dyDescent="0.55000000000000004">
      <c r="A146" s="151">
        <v>164</v>
      </c>
      <c r="B146" s="150"/>
      <c r="C146" s="152">
        <v>1320000</v>
      </c>
      <c r="D146" s="152">
        <v>1320000</v>
      </c>
      <c r="E146" s="152">
        <v>1320000</v>
      </c>
      <c r="F146" s="152">
        <v>0</v>
      </c>
      <c r="G146" s="152">
        <v>1320000</v>
      </c>
      <c r="H146" s="152">
        <v>1320000</v>
      </c>
      <c r="I146" s="152">
        <v>1320000</v>
      </c>
      <c r="J146" s="152">
        <v>1320000</v>
      </c>
      <c r="K146" s="152">
        <v>1320000</v>
      </c>
      <c r="L146" s="152">
        <v>1320000</v>
      </c>
      <c r="M146" s="150" t="s">
        <v>252</v>
      </c>
      <c r="N146" s="154">
        <v>1</v>
      </c>
      <c r="O146" s="156">
        <v>12</v>
      </c>
      <c r="P146" s="151" t="s">
        <v>253</v>
      </c>
      <c r="Q146" s="154">
        <v>0</v>
      </c>
      <c r="R146" s="156">
        <v>0</v>
      </c>
      <c r="S146" s="151" t="s">
        <v>83</v>
      </c>
      <c r="T146" s="150" t="s">
        <v>266</v>
      </c>
      <c r="U146" s="150" t="s">
        <v>374</v>
      </c>
      <c r="V146" s="151" t="s">
        <v>432</v>
      </c>
      <c r="W146" s="151"/>
      <c r="X146" s="159">
        <v>44771</v>
      </c>
      <c r="Y146" s="151">
        <v>2022</v>
      </c>
      <c r="Z146" s="151">
        <v>7</v>
      </c>
      <c r="AA146" s="151">
        <v>29</v>
      </c>
    </row>
    <row r="147" spans="1:27" x14ac:dyDescent="0.55000000000000004">
      <c r="A147" s="151">
        <v>165</v>
      </c>
      <c r="B147" s="150"/>
      <c r="C147" s="152">
        <v>1573000</v>
      </c>
      <c r="D147" s="152">
        <v>1573000</v>
      </c>
      <c r="E147" s="152">
        <v>1573000</v>
      </c>
      <c r="F147" s="152">
        <v>0</v>
      </c>
      <c r="G147" s="152">
        <v>1573000</v>
      </c>
      <c r="H147" s="152">
        <v>1573000</v>
      </c>
      <c r="I147" s="152">
        <v>1573000</v>
      </c>
      <c r="J147" s="152">
        <v>1573000</v>
      </c>
      <c r="K147" s="152">
        <v>1573000</v>
      </c>
      <c r="L147" s="152">
        <v>1573000</v>
      </c>
      <c r="M147" s="150" t="s">
        <v>252</v>
      </c>
      <c r="N147" s="154">
        <v>1</v>
      </c>
      <c r="O147" s="156">
        <v>25</v>
      </c>
      <c r="P147" s="151" t="s">
        <v>253</v>
      </c>
      <c r="Q147" s="154">
        <v>0</v>
      </c>
      <c r="R147" s="156">
        <v>0</v>
      </c>
      <c r="S147" s="151" t="s">
        <v>83</v>
      </c>
      <c r="T147" s="150" t="s">
        <v>256</v>
      </c>
      <c r="U147" s="150" t="s">
        <v>357</v>
      </c>
      <c r="V147" s="151" t="s">
        <v>432</v>
      </c>
      <c r="W147" s="151"/>
      <c r="X147" s="159">
        <v>44771</v>
      </c>
      <c r="Y147" s="151">
        <v>2022</v>
      </c>
      <c r="Z147" s="151">
        <v>7</v>
      </c>
      <c r="AA147" s="151">
        <v>29</v>
      </c>
    </row>
    <row r="148" spans="1:27" x14ac:dyDescent="0.55000000000000004">
      <c r="A148" s="151">
        <v>166</v>
      </c>
      <c r="B148" s="150"/>
      <c r="C148" s="152">
        <v>1463000</v>
      </c>
      <c r="D148" s="152">
        <v>1463000</v>
      </c>
      <c r="E148" s="152">
        <v>1463688</v>
      </c>
      <c r="F148" s="152">
        <v>0</v>
      </c>
      <c r="G148" s="152">
        <v>1463688</v>
      </c>
      <c r="H148" s="152">
        <v>1463688</v>
      </c>
      <c r="I148" s="152">
        <v>1463688</v>
      </c>
      <c r="J148" s="152">
        <v>1463688</v>
      </c>
      <c r="K148" s="152">
        <v>1463688</v>
      </c>
      <c r="L148" s="152">
        <v>1463000</v>
      </c>
      <c r="M148" s="150" t="s">
        <v>252</v>
      </c>
      <c r="N148" s="154">
        <v>1</v>
      </c>
      <c r="O148" s="156">
        <v>8</v>
      </c>
      <c r="P148" s="151" t="s">
        <v>253</v>
      </c>
      <c r="Q148" s="154">
        <v>0</v>
      </c>
      <c r="R148" s="156">
        <v>0</v>
      </c>
      <c r="S148" s="151" t="s">
        <v>83</v>
      </c>
      <c r="T148" s="150" t="s">
        <v>258</v>
      </c>
      <c r="U148" s="150" t="s">
        <v>309</v>
      </c>
      <c r="V148" s="151" t="s">
        <v>432</v>
      </c>
      <c r="W148" s="151"/>
      <c r="X148" s="159">
        <v>44771</v>
      </c>
      <c r="Y148" s="151">
        <v>2022</v>
      </c>
      <c r="Z148" s="151">
        <v>7</v>
      </c>
      <c r="AA148" s="151">
        <v>29</v>
      </c>
    </row>
    <row r="149" spans="1:27" x14ac:dyDescent="0.55000000000000004">
      <c r="A149" s="151">
        <v>167</v>
      </c>
      <c r="B149" s="150"/>
      <c r="C149" s="152">
        <v>1460000</v>
      </c>
      <c r="D149" s="152">
        <v>1460000</v>
      </c>
      <c r="E149" s="152">
        <v>1460800</v>
      </c>
      <c r="F149" s="152">
        <v>0</v>
      </c>
      <c r="G149" s="152">
        <v>1460800</v>
      </c>
      <c r="H149" s="152">
        <v>1460800</v>
      </c>
      <c r="I149" s="152">
        <v>1460800</v>
      </c>
      <c r="J149" s="152">
        <v>1460800</v>
      </c>
      <c r="K149" s="152">
        <v>1460800</v>
      </c>
      <c r="L149" s="152">
        <v>1460000</v>
      </c>
      <c r="M149" s="150" t="s">
        <v>252</v>
      </c>
      <c r="N149" s="154">
        <v>1</v>
      </c>
      <c r="O149" s="156">
        <v>5</v>
      </c>
      <c r="P149" s="151" t="s">
        <v>253</v>
      </c>
      <c r="Q149" s="154">
        <v>0</v>
      </c>
      <c r="R149" s="156">
        <v>0</v>
      </c>
      <c r="S149" s="151" t="s">
        <v>83</v>
      </c>
      <c r="T149" s="150" t="s">
        <v>334</v>
      </c>
      <c r="U149" s="150" t="s">
        <v>375</v>
      </c>
      <c r="V149" s="151" t="s">
        <v>433</v>
      </c>
      <c r="W149" s="151"/>
      <c r="X149" s="159">
        <v>44771</v>
      </c>
      <c r="Y149" s="151">
        <v>2022</v>
      </c>
      <c r="Z149" s="151">
        <v>7</v>
      </c>
      <c r="AA149" s="151">
        <v>29</v>
      </c>
    </row>
    <row r="150" spans="1:27" x14ac:dyDescent="0.55000000000000004">
      <c r="A150" s="151">
        <v>168</v>
      </c>
      <c r="B150" s="150"/>
      <c r="C150" s="152">
        <v>1430000</v>
      </c>
      <c r="D150" s="152">
        <v>1430000</v>
      </c>
      <c r="E150" s="152">
        <v>1430000</v>
      </c>
      <c r="F150" s="152">
        <v>0</v>
      </c>
      <c r="G150" s="152">
        <v>1430000</v>
      </c>
      <c r="H150" s="152">
        <v>1430000</v>
      </c>
      <c r="I150" s="152">
        <v>1430000</v>
      </c>
      <c r="J150" s="152">
        <v>1430000</v>
      </c>
      <c r="K150" s="152">
        <v>1430000</v>
      </c>
      <c r="L150" s="152">
        <v>1430000</v>
      </c>
      <c r="M150" s="150" t="s">
        <v>252</v>
      </c>
      <c r="N150" s="154">
        <v>1</v>
      </c>
      <c r="O150" s="156">
        <v>20</v>
      </c>
      <c r="P150" s="151" t="s">
        <v>253</v>
      </c>
      <c r="Q150" s="154">
        <v>0</v>
      </c>
      <c r="R150" s="156">
        <v>0</v>
      </c>
      <c r="S150" s="151" t="s">
        <v>83</v>
      </c>
      <c r="T150" s="150" t="s">
        <v>283</v>
      </c>
      <c r="U150" s="150" t="s">
        <v>376</v>
      </c>
      <c r="V150" s="151" t="s">
        <v>432</v>
      </c>
      <c r="W150" s="151"/>
      <c r="X150" s="159">
        <v>44771</v>
      </c>
      <c r="Y150" s="151">
        <v>2022</v>
      </c>
      <c r="Z150" s="151">
        <v>7</v>
      </c>
      <c r="AA150" s="151">
        <v>29</v>
      </c>
    </row>
    <row r="151" spans="1:27" x14ac:dyDescent="0.55000000000000004">
      <c r="A151" s="151">
        <v>169</v>
      </c>
      <c r="B151" s="150"/>
      <c r="C151" s="152">
        <v>1463000</v>
      </c>
      <c r="D151" s="152">
        <v>1463000</v>
      </c>
      <c r="E151" s="152">
        <v>1463000</v>
      </c>
      <c r="F151" s="152">
        <v>0</v>
      </c>
      <c r="G151" s="152">
        <v>1463000</v>
      </c>
      <c r="H151" s="152">
        <v>1463000</v>
      </c>
      <c r="I151" s="152">
        <v>1463000</v>
      </c>
      <c r="J151" s="152">
        <v>1463000</v>
      </c>
      <c r="K151" s="152">
        <v>1463000</v>
      </c>
      <c r="L151" s="152">
        <v>1463000</v>
      </c>
      <c r="M151" s="150" t="s">
        <v>252</v>
      </c>
      <c r="N151" s="154">
        <v>1</v>
      </c>
      <c r="O151" s="156">
        <v>5</v>
      </c>
      <c r="P151" s="151" t="s">
        <v>253</v>
      </c>
      <c r="Q151" s="154">
        <v>0</v>
      </c>
      <c r="R151" s="156">
        <v>0</v>
      </c>
      <c r="S151" s="151" t="s">
        <v>83</v>
      </c>
      <c r="T151" s="150" t="s">
        <v>377</v>
      </c>
      <c r="U151" s="150" t="s">
        <v>366</v>
      </c>
      <c r="V151" s="151" t="s">
        <v>432</v>
      </c>
      <c r="W151" s="151"/>
      <c r="X151" s="159">
        <v>44771</v>
      </c>
      <c r="Y151" s="151">
        <v>2022</v>
      </c>
      <c r="Z151" s="151">
        <v>7</v>
      </c>
      <c r="AA151" s="151">
        <v>29</v>
      </c>
    </row>
    <row r="152" spans="1:27" x14ac:dyDescent="0.55000000000000004">
      <c r="A152" s="151">
        <v>170</v>
      </c>
      <c r="B152" s="150"/>
      <c r="C152" s="152">
        <v>1539000</v>
      </c>
      <c r="D152" s="152">
        <v>1539000</v>
      </c>
      <c r="E152" s="152">
        <v>1539986</v>
      </c>
      <c r="F152" s="152">
        <v>0</v>
      </c>
      <c r="G152" s="152">
        <v>1539986</v>
      </c>
      <c r="H152" s="152">
        <v>1539986</v>
      </c>
      <c r="I152" s="152">
        <v>1539986</v>
      </c>
      <c r="J152" s="152">
        <v>1539986</v>
      </c>
      <c r="K152" s="152">
        <v>1539986</v>
      </c>
      <c r="L152" s="152">
        <v>1539000</v>
      </c>
      <c r="M152" s="150" t="s">
        <v>252</v>
      </c>
      <c r="N152" s="154">
        <v>1</v>
      </c>
      <c r="O152" s="156">
        <v>12</v>
      </c>
      <c r="P152" s="151" t="s">
        <v>253</v>
      </c>
      <c r="Q152" s="154">
        <v>0</v>
      </c>
      <c r="R152" s="156">
        <v>0</v>
      </c>
      <c r="S152" s="151" t="s">
        <v>83</v>
      </c>
      <c r="T152" s="150" t="s">
        <v>283</v>
      </c>
      <c r="U152" s="150" t="s">
        <v>378</v>
      </c>
      <c r="V152" s="151" t="s">
        <v>432</v>
      </c>
      <c r="W152" s="151"/>
      <c r="X152" s="159">
        <v>44771</v>
      </c>
      <c r="Y152" s="151">
        <v>2022</v>
      </c>
      <c r="Z152" s="151">
        <v>7</v>
      </c>
      <c r="AA152" s="151">
        <v>29</v>
      </c>
    </row>
    <row r="153" spans="1:27" x14ac:dyDescent="0.55000000000000004">
      <c r="A153" s="151">
        <v>171</v>
      </c>
      <c r="B153" s="150"/>
      <c r="C153" s="152">
        <v>1606000</v>
      </c>
      <c r="D153" s="152">
        <v>1606000</v>
      </c>
      <c r="E153" s="152">
        <v>1606000</v>
      </c>
      <c r="F153" s="152">
        <v>0</v>
      </c>
      <c r="G153" s="152">
        <v>1606000</v>
      </c>
      <c r="H153" s="152">
        <v>1606000</v>
      </c>
      <c r="I153" s="152">
        <v>1606000</v>
      </c>
      <c r="J153" s="152">
        <v>1606000</v>
      </c>
      <c r="K153" s="152">
        <v>1606000</v>
      </c>
      <c r="L153" s="152">
        <v>1606000</v>
      </c>
      <c r="M153" s="150" t="s">
        <v>252</v>
      </c>
      <c r="N153" s="154">
        <v>1</v>
      </c>
      <c r="O153" s="156">
        <v>30</v>
      </c>
      <c r="P153" s="151" t="s">
        <v>253</v>
      </c>
      <c r="Q153" s="154">
        <v>0</v>
      </c>
      <c r="R153" s="156">
        <v>0</v>
      </c>
      <c r="S153" s="151" t="s">
        <v>83</v>
      </c>
      <c r="T153" s="150" t="s">
        <v>254</v>
      </c>
      <c r="U153" s="150" t="s">
        <v>309</v>
      </c>
      <c r="V153" s="151" t="s">
        <v>432</v>
      </c>
      <c r="W153" s="151"/>
      <c r="X153" s="159">
        <v>44771</v>
      </c>
      <c r="Y153" s="151">
        <v>2022</v>
      </c>
      <c r="Z153" s="151">
        <v>7</v>
      </c>
      <c r="AA153" s="151">
        <v>29</v>
      </c>
    </row>
    <row r="154" spans="1:27" x14ac:dyDescent="0.55000000000000004">
      <c r="A154" s="151">
        <v>172</v>
      </c>
      <c r="B154" s="150"/>
      <c r="C154" s="152">
        <v>1478000</v>
      </c>
      <c r="D154" s="152">
        <v>1478000</v>
      </c>
      <c r="E154" s="152">
        <v>1478495</v>
      </c>
      <c r="F154" s="152">
        <v>0</v>
      </c>
      <c r="G154" s="152">
        <v>1478495</v>
      </c>
      <c r="H154" s="152">
        <v>1478495</v>
      </c>
      <c r="I154" s="152">
        <v>1478495</v>
      </c>
      <c r="J154" s="152">
        <v>1478495</v>
      </c>
      <c r="K154" s="152">
        <v>1478495</v>
      </c>
      <c r="L154" s="152">
        <v>1478000</v>
      </c>
      <c r="M154" s="150" t="s">
        <v>252</v>
      </c>
      <c r="N154" s="154">
        <v>1</v>
      </c>
      <c r="O154" s="156">
        <v>30</v>
      </c>
      <c r="P154" s="151" t="s">
        <v>253</v>
      </c>
      <c r="Q154" s="154">
        <v>0</v>
      </c>
      <c r="R154" s="156">
        <v>0</v>
      </c>
      <c r="S154" s="151" t="s">
        <v>83</v>
      </c>
      <c r="T154" s="150" t="s">
        <v>379</v>
      </c>
      <c r="U154" s="150" t="s">
        <v>308</v>
      </c>
      <c r="V154" s="151" t="s">
        <v>432</v>
      </c>
      <c r="W154" s="151"/>
      <c r="X154" s="159">
        <v>44771</v>
      </c>
      <c r="Y154" s="151">
        <v>2022</v>
      </c>
      <c r="Z154" s="151">
        <v>7</v>
      </c>
      <c r="AA154" s="151">
        <v>29</v>
      </c>
    </row>
    <row r="155" spans="1:27" x14ac:dyDescent="0.55000000000000004">
      <c r="A155" s="151">
        <v>173</v>
      </c>
      <c r="B155" s="150"/>
      <c r="C155" s="152">
        <v>1430000</v>
      </c>
      <c r="D155" s="152">
        <v>1430000</v>
      </c>
      <c r="E155" s="152">
        <v>1430000</v>
      </c>
      <c r="F155" s="152">
        <v>0</v>
      </c>
      <c r="G155" s="152">
        <v>1430000</v>
      </c>
      <c r="H155" s="152">
        <v>1430000</v>
      </c>
      <c r="I155" s="152">
        <v>1430000</v>
      </c>
      <c r="J155" s="152">
        <v>1430000</v>
      </c>
      <c r="K155" s="152">
        <v>1430000</v>
      </c>
      <c r="L155" s="152">
        <v>1430000</v>
      </c>
      <c r="M155" s="150" t="s">
        <v>252</v>
      </c>
      <c r="N155" s="154">
        <v>1</v>
      </c>
      <c r="O155" s="156">
        <v>20</v>
      </c>
      <c r="P155" s="151" t="s">
        <v>253</v>
      </c>
      <c r="Q155" s="154">
        <v>0</v>
      </c>
      <c r="R155" s="156">
        <v>0</v>
      </c>
      <c r="S155" s="151" t="s">
        <v>83</v>
      </c>
      <c r="T155" s="150" t="s">
        <v>311</v>
      </c>
      <c r="U155" s="150" t="s">
        <v>380</v>
      </c>
      <c r="V155" s="151" t="s">
        <v>432</v>
      </c>
      <c r="W155" s="151"/>
      <c r="X155" s="159">
        <v>44771</v>
      </c>
      <c r="Y155" s="151">
        <v>2022</v>
      </c>
      <c r="Z155" s="151">
        <v>7</v>
      </c>
      <c r="AA155" s="151">
        <v>29</v>
      </c>
    </row>
    <row r="156" spans="1:27" x14ac:dyDescent="0.55000000000000004">
      <c r="A156" s="151">
        <v>174</v>
      </c>
      <c r="B156" s="150"/>
      <c r="C156" s="152">
        <v>1518000</v>
      </c>
      <c r="D156" s="152">
        <v>1518000</v>
      </c>
      <c r="E156" s="152">
        <v>1518000</v>
      </c>
      <c r="F156" s="152">
        <v>0</v>
      </c>
      <c r="G156" s="152">
        <v>1518000</v>
      </c>
      <c r="H156" s="152">
        <v>1518000</v>
      </c>
      <c r="I156" s="152">
        <v>1518000</v>
      </c>
      <c r="J156" s="152">
        <v>1518000</v>
      </c>
      <c r="K156" s="152">
        <v>1518000</v>
      </c>
      <c r="L156" s="152">
        <v>1518000</v>
      </c>
      <c r="M156" s="150" t="s">
        <v>252</v>
      </c>
      <c r="N156" s="154">
        <v>1</v>
      </c>
      <c r="O156" s="156">
        <v>6</v>
      </c>
      <c r="P156" s="151" t="s">
        <v>253</v>
      </c>
      <c r="Q156" s="154">
        <v>0</v>
      </c>
      <c r="R156" s="156">
        <v>0</v>
      </c>
      <c r="S156" s="151" t="s">
        <v>83</v>
      </c>
      <c r="T156" s="150" t="s">
        <v>266</v>
      </c>
      <c r="U156" s="150" t="s">
        <v>317</v>
      </c>
      <c r="V156" s="151" t="s">
        <v>432</v>
      </c>
      <c r="W156" s="151"/>
      <c r="X156" s="159">
        <v>44771</v>
      </c>
      <c r="Y156" s="151">
        <v>2022</v>
      </c>
      <c r="Z156" s="151">
        <v>7</v>
      </c>
      <c r="AA156" s="151">
        <v>29</v>
      </c>
    </row>
    <row r="157" spans="1:27" x14ac:dyDescent="0.55000000000000004">
      <c r="A157" s="151">
        <v>175</v>
      </c>
      <c r="B157" s="150"/>
      <c r="C157" s="152">
        <v>1100000</v>
      </c>
      <c r="D157" s="152">
        <v>1100000</v>
      </c>
      <c r="E157" s="152">
        <v>1100000</v>
      </c>
      <c r="F157" s="152">
        <v>0</v>
      </c>
      <c r="G157" s="152">
        <v>1100000</v>
      </c>
      <c r="H157" s="152">
        <v>1100000</v>
      </c>
      <c r="I157" s="152">
        <v>1100000</v>
      </c>
      <c r="J157" s="152">
        <v>1100000</v>
      </c>
      <c r="K157" s="152">
        <v>1100000</v>
      </c>
      <c r="L157" s="152">
        <v>1100000</v>
      </c>
      <c r="M157" s="150" t="s">
        <v>252</v>
      </c>
      <c r="N157" s="154">
        <v>1</v>
      </c>
      <c r="O157" s="156">
        <v>20</v>
      </c>
      <c r="P157" s="151" t="s">
        <v>253</v>
      </c>
      <c r="Q157" s="154">
        <v>0</v>
      </c>
      <c r="R157" s="156">
        <v>0</v>
      </c>
      <c r="S157" s="151" t="s">
        <v>83</v>
      </c>
      <c r="T157" s="150" t="s">
        <v>266</v>
      </c>
      <c r="U157" s="150" t="s">
        <v>358</v>
      </c>
      <c r="V157" s="151" t="s">
        <v>432</v>
      </c>
      <c r="W157" s="151"/>
      <c r="X157" s="159">
        <v>44771</v>
      </c>
      <c r="Y157" s="151">
        <v>2022</v>
      </c>
      <c r="Z157" s="151">
        <v>7</v>
      </c>
      <c r="AA157" s="151">
        <v>29</v>
      </c>
    </row>
    <row r="158" spans="1:27" x14ac:dyDescent="0.55000000000000004">
      <c r="A158" s="151">
        <v>176</v>
      </c>
      <c r="B158" s="150"/>
      <c r="C158" s="152">
        <v>1390000</v>
      </c>
      <c r="D158" s="152">
        <v>1390000</v>
      </c>
      <c r="E158" s="152">
        <v>1390400</v>
      </c>
      <c r="F158" s="152">
        <v>0</v>
      </c>
      <c r="G158" s="152">
        <v>1390400</v>
      </c>
      <c r="H158" s="152">
        <v>1390400</v>
      </c>
      <c r="I158" s="152">
        <v>1390400</v>
      </c>
      <c r="J158" s="152">
        <v>1390400</v>
      </c>
      <c r="K158" s="152">
        <v>1390400</v>
      </c>
      <c r="L158" s="152">
        <v>1390000</v>
      </c>
      <c r="M158" s="150" t="s">
        <v>252</v>
      </c>
      <c r="N158" s="154">
        <v>1</v>
      </c>
      <c r="O158" s="156">
        <v>5</v>
      </c>
      <c r="P158" s="151" t="s">
        <v>253</v>
      </c>
      <c r="Q158" s="154">
        <v>0</v>
      </c>
      <c r="R158" s="156">
        <v>0</v>
      </c>
      <c r="S158" s="151" t="s">
        <v>83</v>
      </c>
      <c r="T158" s="150" t="s">
        <v>266</v>
      </c>
      <c r="U158" s="150" t="s">
        <v>277</v>
      </c>
      <c r="V158" s="151" t="s">
        <v>432</v>
      </c>
      <c r="W158" s="151"/>
      <c r="X158" s="159">
        <v>44771</v>
      </c>
      <c r="Y158" s="151">
        <v>2022</v>
      </c>
      <c r="Z158" s="151">
        <v>7</v>
      </c>
      <c r="AA158" s="151">
        <v>29</v>
      </c>
    </row>
    <row r="159" spans="1:27" x14ac:dyDescent="0.55000000000000004">
      <c r="A159" s="151">
        <v>177</v>
      </c>
      <c r="B159" s="150"/>
      <c r="C159" s="152">
        <v>1463000</v>
      </c>
      <c r="D159" s="152">
        <v>1463000</v>
      </c>
      <c r="E159" s="152">
        <v>1463688</v>
      </c>
      <c r="F159" s="152">
        <v>0</v>
      </c>
      <c r="G159" s="152">
        <v>1463688</v>
      </c>
      <c r="H159" s="152">
        <v>1463688</v>
      </c>
      <c r="I159" s="152">
        <v>1463688</v>
      </c>
      <c r="J159" s="152">
        <v>1463688</v>
      </c>
      <c r="K159" s="152">
        <v>1463688</v>
      </c>
      <c r="L159" s="152">
        <v>1463000</v>
      </c>
      <c r="M159" s="150" t="s">
        <v>252</v>
      </c>
      <c r="N159" s="154">
        <v>1</v>
      </c>
      <c r="O159" s="156">
        <v>40</v>
      </c>
      <c r="P159" s="151" t="s">
        <v>253</v>
      </c>
      <c r="Q159" s="154">
        <v>0</v>
      </c>
      <c r="R159" s="156">
        <v>0</v>
      </c>
      <c r="S159" s="151" t="s">
        <v>83</v>
      </c>
      <c r="T159" s="150" t="s">
        <v>264</v>
      </c>
      <c r="U159" s="150" t="s">
        <v>265</v>
      </c>
      <c r="V159" s="151" t="s">
        <v>432</v>
      </c>
      <c r="W159" s="151"/>
      <c r="X159" s="159">
        <v>44771</v>
      </c>
      <c r="Y159" s="151">
        <v>2022</v>
      </c>
      <c r="Z159" s="151">
        <v>7</v>
      </c>
      <c r="AA159" s="151">
        <v>29</v>
      </c>
    </row>
    <row r="160" spans="1:27" x14ac:dyDescent="0.55000000000000004">
      <c r="A160" s="151">
        <v>178</v>
      </c>
      <c r="B160" s="150"/>
      <c r="C160" s="152">
        <v>3137000</v>
      </c>
      <c r="D160" s="152">
        <v>3137000</v>
      </c>
      <c r="E160" s="152">
        <v>3137530</v>
      </c>
      <c r="F160" s="152">
        <v>0</v>
      </c>
      <c r="G160" s="152">
        <v>3137530</v>
      </c>
      <c r="H160" s="152">
        <v>3137530</v>
      </c>
      <c r="I160" s="152">
        <v>3137530</v>
      </c>
      <c r="J160" s="152">
        <v>3137530</v>
      </c>
      <c r="K160" s="152">
        <v>3137530</v>
      </c>
      <c r="L160" s="152">
        <v>3137000</v>
      </c>
      <c r="M160" s="150" t="s">
        <v>269</v>
      </c>
      <c r="N160" s="154">
        <v>1</v>
      </c>
      <c r="O160" s="156">
        <v>12</v>
      </c>
      <c r="P160" s="151" t="s">
        <v>253</v>
      </c>
      <c r="Q160" s="154">
        <v>0</v>
      </c>
      <c r="R160" s="156">
        <v>0</v>
      </c>
      <c r="S160" s="151" t="s">
        <v>83</v>
      </c>
      <c r="T160" s="150" t="s">
        <v>283</v>
      </c>
      <c r="U160" s="150" t="s">
        <v>355</v>
      </c>
      <c r="V160" s="151" t="s">
        <v>432</v>
      </c>
      <c r="W160" s="151"/>
      <c r="X160" s="159">
        <v>44771</v>
      </c>
      <c r="Y160" s="151">
        <v>2022</v>
      </c>
      <c r="Z160" s="151">
        <v>7</v>
      </c>
      <c r="AA160" s="151">
        <v>29</v>
      </c>
    </row>
    <row r="161" spans="1:27" x14ac:dyDescent="0.55000000000000004">
      <c r="A161" s="151">
        <v>179</v>
      </c>
      <c r="B161" s="150"/>
      <c r="C161" s="152">
        <v>2450000</v>
      </c>
      <c r="D161" s="152">
        <v>2450000</v>
      </c>
      <c r="E161" s="152">
        <v>2450415</v>
      </c>
      <c r="F161" s="152">
        <v>0</v>
      </c>
      <c r="G161" s="152">
        <v>2450415</v>
      </c>
      <c r="H161" s="152">
        <v>2450415</v>
      </c>
      <c r="I161" s="152">
        <v>2450415</v>
      </c>
      <c r="J161" s="152">
        <v>2450415</v>
      </c>
      <c r="K161" s="152">
        <v>2450415</v>
      </c>
      <c r="L161" s="152">
        <v>2450000</v>
      </c>
      <c r="M161" s="150" t="s">
        <v>252</v>
      </c>
      <c r="N161" s="154">
        <v>2</v>
      </c>
      <c r="O161" s="156">
        <v>15</v>
      </c>
      <c r="P161" s="151" t="s">
        <v>253</v>
      </c>
      <c r="Q161" s="154">
        <v>0</v>
      </c>
      <c r="R161" s="156">
        <v>0</v>
      </c>
      <c r="S161" s="151" t="s">
        <v>83</v>
      </c>
      <c r="T161" s="150" t="s">
        <v>311</v>
      </c>
      <c r="U161" s="150" t="s">
        <v>349</v>
      </c>
      <c r="V161" s="151" t="s">
        <v>432</v>
      </c>
      <c r="W161" s="151"/>
      <c r="X161" s="159">
        <v>44771</v>
      </c>
      <c r="Y161" s="151">
        <v>2022</v>
      </c>
      <c r="Z161" s="151">
        <v>7</v>
      </c>
      <c r="AA161" s="151">
        <v>29</v>
      </c>
    </row>
    <row r="162" spans="1:27" x14ac:dyDescent="0.55000000000000004">
      <c r="A162" s="151">
        <v>180</v>
      </c>
      <c r="B162" s="150"/>
      <c r="C162" s="152">
        <v>1465000</v>
      </c>
      <c r="D162" s="152">
        <v>1465000</v>
      </c>
      <c r="E162" s="152">
        <v>1465000</v>
      </c>
      <c r="F162" s="152">
        <v>0</v>
      </c>
      <c r="G162" s="152">
        <v>1465000</v>
      </c>
      <c r="H162" s="152">
        <v>1465000</v>
      </c>
      <c r="I162" s="152">
        <v>1465000</v>
      </c>
      <c r="J162" s="152">
        <v>1465000</v>
      </c>
      <c r="K162" s="152">
        <v>1465000</v>
      </c>
      <c r="L162" s="152">
        <v>1465000</v>
      </c>
      <c r="M162" s="150" t="s">
        <v>252</v>
      </c>
      <c r="N162" s="154">
        <v>1</v>
      </c>
      <c r="O162" s="156">
        <v>8</v>
      </c>
      <c r="P162" s="151" t="s">
        <v>253</v>
      </c>
      <c r="Q162" s="154">
        <v>0</v>
      </c>
      <c r="R162" s="156">
        <v>0</v>
      </c>
      <c r="S162" s="151" t="s">
        <v>83</v>
      </c>
      <c r="T162" s="150" t="s">
        <v>254</v>
      </c>
      <c r="U162" s="150" t="s">
        <v>330</v>
      </c>
      <c r="V162" s="151" t="s">
        <v>432</v>
      </c>
      <c r="W162" s="151"/>
      <c r="X162" s="159">
        <v>44771</v>
      </c>
      <c r="Y162" s="151">
        <v>2022</v>
      </c>
      <c r="Z162" s="151">
        <v>7</v>
      </c>
      <c r="AA162" s="151">
        <v>29</v>
      </c>
    </row>
    <row r="163" spans="1:27" x14ac:dyDescent="0.55000000000000004">
      <c r="A163" s="151">
        <v>181</v>
      </c>
      <c r="B163" s="150"/>
      <c r="C163" s="152">
        <v>1481000</v>
      </c>
      <c r="D163" s="152">
        <v>1481000</v>
      </c>
      <c r="E163" s="152">
        <v>1481700</v>
      </c>
      <c r="F163" s="152">
        <v>0</v>
      </c>
      <c r="G163" s="152">
        <v>1481700</v>
      </c>
      <c r="H163" s="152">
        <v>1481700</v>
      </c>
      <c r="I163" s="152">
        <v>1481700</v>
      </c>
      <c r="J163" s="152">
        <v>1481700</v>
      </c>
      <c r="K163" s="152">
        <v>1481700</v>
      </c>
      <c r="L163" s="152">
        <v>1481000</v>
      </c>
      <c r="M163" s="150" t="s">
        <v>252</v>
      </c>
      <c r="N163" s="154">
        <v>1</v>
      </c>
      <c r="O163" s="156">
        <v>8</v>
      </c>
      <c r="P163" s="151" t="s">
        <v>253</v>
      </c>
      <c r="Q163" s="154">
        <v>0</v>
      </c>
      <c r="R163" s="156">
        <v>0</v>
      </c>
      <c r="S163" s="151" t="s">
        <v>83</v>
      </c>
      <c r="T163" s="150" t="s">
        <v>266</v>
      </c>
      <c r="U163" s="150" t="s">
        <v>273</v>
      </c>
      <c r="V163" s="151" t="s">
        <v>432</v>
      </c>
      <c r="W163" s="151"/>
      <c r="X163" s="159">
        <v>44771</v>
      </c>
      <c r="Y163" s="151">
        <v>2022</v>
      </c>
      <c r="Z163" s="151">
        <v>7</v>
      </c>
      <c r="AA163" s="151">
        <v>29</v>
      </c>
    </row>
    <row r="164" spans="1:27" x14ac:dyDescent="0.55000000000000004">
      <c r="A164" s="151">
        <v>182</v>
      </c>
      <c r="B164" s="150"/>
      <c r="C164" s="152">
        <v>1463000</v>
      </c>
      <c r="D164" s="152">
        <v>1463000</v>
      </c>
      <c r="E164" s="152">
        <v>1463688</v>
      </c>
      <c r="F164" s="152">
        <v>0</v>
      </c>
      <c r="G164" s="152">
        <v>1463688</v>
      </c>
      <c r="H164" s="152">
        <v>1463688</v>
      </c>
      <c r="I164" s="152">
        <v>1463688</v>
      </c>
      <c r="J164" s="152">
        <v>1463688</v>
      </c>
      <c r="K164" s="152">
        <v>1463688</v>
      </c>
      <c r="L164" s="152">
        <v>1463000</v>
      </c>
      <c r="M164" s="150" t="s">
        <v>252</v>
      </c>
      <c r="N164" s="154">
        <v>1</v>
      </c>
      <c r="O164" s="156">
        <v>8</v>
      </c>
      <c r="P164" s="151" t="s">
        <v>253</v>
      </c>
      <c r="Q164" s="154">
        <v>0</v>
      </c>
      <c r="R164" s="156">
        <v>0</v>
      </c>
      <c r="S164" s="151" t="s">
        <v>83</v>
      </c>
      <c r="T164" s="150" t="s">
        <v>318</v>
      </c>
      <c r="U164" s="150" t="s">
        <v>381</v>
      </c>
      <c r="V164" s="151" t="s">
        <v>432</v>
      </c>
      <c r="W164" s="151"/>
      <c r="X164" s="159">
        <v>44771</v>
      </c>
      <c r="Y164" s="151">
        <v>2022</v>
      </c>
      <c r="Z164" s="151">
        <v>7</v>
      </c>
      <c r="AA164" s="151">
        <v>29</v>
      </c>
    </row>
    <row r="165" spans="1:27" x14ac:dyDescent="0.55000000000000004">
      <c r="A165" s="151">
        <v>183</v>
      </c>
      <c r="B165" s="150"/>
      <c r="C165" s="152">
        <v>1430000</v>
      </c>
      <c r="D165" s="152">
        <v>1430000</v>
      </c>
      <c r="E165" s="152">
        <v>1430000</v>
      </c>
      <c r="F165" s="152">
        <v>0</v>
      </c>
      <c r="G165" s="152">
        <v>1430000</v>
      </c>
      <c r="H165" s="152">
        <v>1430000</v>
      </c>
      <c r="I165" s="152">
        <v>1430000</v>
      </c>
      <c r="J165" s="152">
        <v>1430000</v>
      </c>
      <c r="K165" s="152">
        <v>1430000</v>
      </c>
      <c r="L165" s="152">
        <v>1430000</v>
      </c>
      <c r="M165" s="150" t="s">
        <v>252</v>
      </c>
      <c r="N165" s="154">
        <v>1</v>
      </c>
      <c r="O165" s="156">
        <v>20</v>
      </c>
      <c r="P165" s="151" t="s">
        <v>253</v>
      </c>
      <c r="Q165" s="154">
        <v>0</v>
      </c>
      <c r="R165" s="156">
        <v>0</v>
      </c>
      <c r="S165" s="151" t="s">
        <v>83</v>
      </c>
      <c r="T165" s="150" t="s">
        <v>260</v>
      </c>
      <c r="U165" s="150" t="s">
        <v>344</v>
      </c>
      <c r="V165" s="151" t="s">
        <v>432</v>
      </c>
      <c r="W165" s="151"/>
      <c r="X165" s="159">
        <v>44771</v>
      </c>
      <c r="Y165" s="151">
        <v>2022</v>
      </c>
      <c r="Z165" s="151">
        <v>7</v>
      </c>
      <c r="AA165" s="151">
        <v>29</v>
      </c>
    </row>
    <row r="166" spans="1:27" x14ac:dyDescent="0.55000000000000004">
      <c r="A166" s="151">
        <v>184</v>
      </c>
      <c r="B166" s="150"/>
      <c r="C166" s="152">
        <v>1232000</v>
      </c>
      <c r="D166" s="152">
        <v>1232000</v>
      </c>
      <c r="E166" s="152">
        <v>1232000</v>
      </c>
      <c r="F166" s="152">
        <v>0</v>
      </c>
      <c r="G166" s="152">
        <v>1232000</v>
      </c>
      <c r="H166" s="152">
        <v>1232000</v>
      </c>
      <c r="I166" s="152">
        <v>1232000</v>
      </c>
      <c r="J166" s="152">
        <v>1232000</v>
      </c>
      <c r="K166" s="152">
        <v>1232000</v>
      </c>
      <c r="L166" s="152">
        <v>1232000</v>
      </c>
      <c r="M166" s="150" t="s">
        <v>252</v>
      </c>
      <c r="N166" s="154">
        <v>1</v>
      </c>
      <c r="O166" s="156">
        <v>5</v>
      </c>
      <c r="P166" s="151" t="s">
        <v>253</v>
      </c>
      <c r="Q166" s="154">
        <v>0</v>
      </c>
      <c r="R166" s="156">
        <v>0</v>
      </c>
      <c r="S166" s="151" t="s">
        <v>83</v>
      </c>
      <c r="T166" s="150" t="s">
        <v>260</v>
      </c>
      <c r="U166" s="150" t="s">
        <v>284</v>
      </c>
      <c r="V166" s="151" t="s">
        <v>432</v>
      </c>
      <c r="W166" s="151"/>
      <c r="X166" s="159">
        <v>44771</v>
      </c>
      <c r="Y166" s="151">
        <v>2022</v>
      </c>
      <c r="Z166" s="151">
        <v>7</v>
      </c>
      <c r="AA166" s="151">
        <v>29</v>
      </c>
    </row>
    <row r="167" spans="1:27" x14ac:dyDescent="0.55000000000000004">
      <c r="A167" s="151">
        <v>185</v>
      </c>
      <c r="B167" s="150"/>
      <c r="C167" s="152">
        <v>1485000</v>
      </c>
      <c r="D167" s="152">
        <v>1485000</v>
      </c>
      <c r="E167" s="152">
        <v>1485000</v>
      </c>
      <c r="F167" s="152">
        <v>0</v>
      </c>
      <c r="G167" s="152">
        <v>1485000</v>
      </c>
      <c r="H167" s="152">
        <v>1485000</v>
      </c>
      <c r="I167" s="152">
        <v>1485000</v>
      </c>
      <c r="J167" s="152">
        <v>1485000</v>
      </c>
      <c r="K167" s="152">
        <v>1485000</v>
      </c>
      <c r="L167" s="152">
        <v>1485000</v>
      </c>
      <c r="M167" s="150" t="s">
        <v>252</v>
      </c>
      <c r="N167" s="154">
        <v>1</v>
      </c>
      <c r="O167" s="156">
        <v>10</v>
      </c>
      <c r="P167" s="151" t="s">
        <v>253</v>
      </c>
      <c r="Q167" s="154">
        <v>0</v>
      </c>
      <c r="R167" s="156">
        <v>0</v>
      </c>
      <c r="S167" s="151" t="s">
        <v>83</v>
      </c>
      <c r="T167" s="150" t="s">
        <v>260</v>
      </c>
      <c r="U167" s="150" t="s">
        <v>330</v>
      </c>
      <c r="V167" s="151" t="s">
        <v>432</v>
      </c>
      <c r="W167" s="151"/>
      <c r="X167" s="159">
        <v>44771</v>
      </c>
      <c r="Y167" s="151">
        <v>2022</v>
      </c>
      <c r="Z167" s="151">
        <v>7</v>
      </c>
      <c r="AA167" s="151">
        <v>29</v>
      </c>
    </row>
    <row r="168" spans="1:27" x14ac:dyDescent="0.55000000000000004">
      <c r="A168" s="151">
        <v>186</v>
      </c>
      <c r="B168" s="150"/>
      <c r="C168" s="152">
        <v>1540000</v>
      </c>
      <c r="D168" s="152">
        <v>1540000</v>
      </c>
      <c r="E168" s="152">
        <v>1540000</v>
      </c>
      <c r="F168" s="152">
        <v>0</v>
      </c>
      <c r="G168" s="152">
        <v>1540000</v>
      </c>
      <c r="H168" s="152">
        <v>1540000</v>
      </c>
      <c r="I168" s="152">
        <v>1540000</v>
      </c>
      <c r="J168" s="152">
        <v>1540000</v>
      </c>
      <c r="K168" s="152">
        <v>1540000</v>
      </c>
      <c r="L168" s="152">
        <v>1540000</v>
      </c>
      <c r="M168" s="150" t="s">
        <v>252</v>
      </c>
      <c r="N168" s="154">
        <v>1</v>
      </c>
      <c r="O168" s="156">
        <v>20</v>
      </c>
      <c r="P168" s="151" t="s">
        <v>253</v>
      </c>
      <c r="Q168" s="154">
        <v>0</v>
      </c>
      <c r="R168" s="156">
        <v>0</v>
      </c>
      <c r="S168" s="151" t="s">
        <v>83</v>
      </c>
      <c r="T168" s="150" t="s">
        <v>311</v>
      </c>
      <c r="U168" s="150" t="s">
        <v>382</v>
      </c>
      <c r="V168" s="151" t="s">
        <v>432</v>
      </c>
      <c r="W168" s="151"/>
      <c r="X168" s="159">
        <v>44771</v>
      </c>
      <c r="Y168" s="151">
        <v>2022</v>
      </c>
      <c r="Z168" s="151">
        <v>7</v>
      </c>
      <c r="AA168" s="151">
        <v>29</v>
      </c>
    </row>
    <row r="169" spans="1:27" x14ac:dyDescent="0.55000000000000004">
      <c r="A169" s="151">
        <v>187</v>
      </c>
      <c r="B169" s="150"/>
      <c r="C169" s="152">
        <v>1463000</v>
      </c>
      <c r="D169" s="152">
        <v>1463000</v>
      </c>
      <c r="E169" s="152">
        <v>1463000</v>
      </c>
      <c r="F169" s="152">
        <v>0</v>
      </c>
      <c r="G169" s="152">
        <v>1463000</v>
      </c>
      <c r="H169" s="152">
        <v>1463000</v>
      </c>
      <c r="I169" s="152">
        <v>1463000</v>
      </c>
      <c r="J169" s="152">
        <v>1463000</v>
      </c>
      <c r="K169" s="152">
        <v>1463000</v>
      </c>
      <c r="L169" s="152">
        <v>1463000</v>
      </c>
      <c r="M169" s="150" t="s">
        <v>252</v>
      </c>
      <c r="N169" s="154">
        <v>1</v>
      </c>
      <c r="O169" s="156">
        <v>10</v>
      </c>
      <c r="P169" s="151" t="s">
        <v>253</v>
      </c>
      <c r="Q169" s="154">
        <v>0</v>
      </c>
      <c r="R169" s="156">
        <v>0</v>
      </c>
      <c r="S169" s="151" t="s">
        <v>83</v>
      </c>
      <c r="T169" s="150" t="s">
        <v>266</v>
      </c>
      <c r="U169" s="150" t="s">
        <v>267</v>
      </c>
      <c r="V169" s="151" t="s">
        <v>432</v>
      </c>
      <c r="W169" s="151"/>
      <c r="X169" s="159">
        <v>44771</v>
      </c>
      <c r="Y169" s="151">
        <v>2022</v>
      </c>
      <c r="Z169" s="151">
        <v>7</v>
      </c>
      <c r="AA169" s="151">
        <v>29</v>
      </c>
    </row>
    <row r="170" spans="1:27" x14ac:dyDescent="0.55000000000000004">
      <c r="A170" s="151">
        <v>188</v>
      </c>
      <c r="B170" s="150"/>
      <c r="C170" s="152">
        <v>2464000</v>
      </c>
      <c r="D170" s="152">
        <v>2464000</v>
      </c>
      <c r="E170" s="152">
        <v>2464000</v>
      </c>
      <c r="F170" s="152">
        <v>0</v>
      </c>
      <c r="G170" s="152">
        <v>2464000</v>
      </c>
      <c r="H170" s="152">
        <v>2464000</v>
      </c>
      <c r="I170" s="152">
        <v>2464000</v>
      </c>
      <c r="J170" s="152">
        <v>2464000</v>
      </c>
      <c r="K170" s="152">
        <v>2464000</v>
      </c>
      <c r="L170" s="152">
        <v>2464000</v>
      </c>
      <c r="M170" s="150" t="s">
        <v>252</v>
      </c>
      <c r="N170" s="154">
        <v>2</v>
      </c>
      <c r="O170" s="156">
        <v>24</v>
      </c>
      <c r="P170" s="151" t="s">
        <v>253</v>
      </c>
      <c r="Q170" s="154">
        <v>0</v>
      </c>
      <c r="R170" s="156">
        <v>0</v>
      </c>
      <c r="S170" s="151" t="s">
        <v>83</v>
      </c>
      <c r="T170" s="150" t="s">
        <v>266</v>
      </c>
      <c r="U170" s="150" t="s">
        <v>267</v>
      </c>
      <c r="V170" s="151" t="s">
        <v>432</v>
      </c>
      <c r="W170" s="151"/>
      <c r="X170" s="159">
        <v>44771</v>
      </c>
      <c r="Y170" s="151">
        <v>2022</v>
      </c>
      <c r="Z170" s="151">
        <v>7</v>
      </c>
      <c r="AA170" s="151">
        <v>29</v>
      </c>
    </row>
    <row r="171" spans="1:27" x14ac:dyDescent="0.55000000000000004">
      <c r="A171" s="151">
        <v>189</v>
      </c>
      <c r="B171" s="150"/>
      <c r="C171" s="152">
        <v>1232000</v>
      </c>
      <c r="D171" s="152">
        <v>1232000</v>
      </c>
      <c r="E171" s="152">
        <v>1232000</v>
      </c>
      <c r="F171" s="152">
        <v>0</v>
      </c>
      <c r="G171" s="152">
        <v>1232000</v>
      </c>
      <c r="H171" s="152">
        <v>1232000</v>
      </c>
      <c r="I171" s="152">
        <v>1232000</v>
      </c>
      <c r="J171" s="152">
        <v>1232000</v>
      </c>
      <c r="K171" s="152">
        <v>1232000</v>
      </c>
      <c r="L171" s="152">
        <v>1232000</v>
      </c>
      <c r="M171" s="150" t="s">
        <v>252</v>
      </c>
      <c r="N171" s="154">
        <v>1</v>
      </c>
      <c r="O171" s="156">
        <v>20</v>
      </c>
      <c r="P171" s="151" t="s">
        <v>253</v>
      </c>
      <c r="Q171" s="154">
        <v>0</v>
      </c>
      <c r="R171" s="156">
        <v>0</v>
      </c>
      <c r="S171" s="151" t="s">
        <v>83</v>
      </c>
      <c r="T171" s="150" t="s">
        <v>266</v>
      </c>
      <c r="U171" s="150" t="s">
        <v>267</v>
      </c>
      <c r="V171" s="151" t="s">
        <v>432</v>
      </c>
      <c r="W171" s="151"/>
      <c r="X171" s="159">
        <v>44771</v>
      </c>
      <c r="Y171" s="151">
        <v>2022</v>
      </c>
      <c r="Z171" s="151">
        <v>7</v>
      </c>
      <c r="AA171" s="151">
        <v>29</v>
      </c>
    </row>
    <row r="172" spans="1:27" x14ac:dyDescent="0.55000000000000004">
      <c r="A172" s="151">
        <v>190</v>
      </c>
      <c r="B172" s="150"/>
      <c r="C172" s="152">
        <v>2464000</v>
      </c>
      <c r="D172" s="152">
        <v>2464000</v>
      </c>
      <c r="E172" s="152">
        <v>2464000</v>
      </c>
      <c r="F172" s="152">
        <v>0</v>
      </c>
      <c r="G172" s="152">
        <v>2464000</v>
      </c>
      <c r="H172" s="152">
        <v>2464000</v>
      </c>
      <c r="I172" s="152">
        <v>2464000</v>
      </c>
      <c r="J172" s="152">
        <v>2464000</v>
      </c>
      <c r="K172" s="152">
        <v>2464000</v>
      </c>
      <c r="L172" s="152">
        <v>2464000</v>
      </c>
      <c r="M172" s="150" t="s">
        <v>269</v>
      </c>
      <c r="N172" s="154">
        <v>2</v>
      </c>
      <c r="O172" s="156">
        <v>25</v>
      </c>
      <c r="P172" s="151" t="s">
        <v>253</v>
      </c>
      <c r="Q172" s="154">
        <v>0</v>
      </c>
      <c r="R172" s="156">
        <v>0</v>
      </c>
      <c r="S172" s="151" t="s">
        <v>83</v>
      </c>
      <c r="T172" s="150" t="s">
        <v>321</v>
      </c>
      <c r="U172" s="150" t="s">
        <v>383</v>
      </c>
      <c r="V172" s="151" t="s">
        <v>432</v>
      </c>
      <c r="W172" s="151"/>
      <c r="X172" s="159">
        <v>44771</v>
      </c>
      <c r="Y172" s="151">
        <v>2022</v>
      </c>
      <c r="Z172" s="151">
        <v>7</v>
      </c>
      <c r="AA172" s="151">
        <v>29</v>
      </c>
    </row>
    <row r="173" spans="1:27" x14ac:dyDescent="0.55000000000000004">
      <c r="A173" s="151">
        <v>191</v>
      </c>
      <c r="B173" s="150"/>
      <c r="C173" s="152">
        <v>1485000</v>
      </c>
      <c r="D173" s="152">
        <v>1485000</v>
      </c>
      <c r="E173" s="152">
        <v>1485000</v>
      </c>
      <c r="F173" s="152">
        <v>0</v>
      </c>
      <c r="G173" s="152">
        <v>1485000</v>
      </c>
      <c r="H173" s="152">
        <v>1485000</v>
      </c>
      <c r="I173" s="152">
        <v>1485000</v>
      </c>
      <c r="J173" s="152">
        <v>1485000</v>
      </c>
      <c r="K173" s="152">
        <v>1485000</v>
      </c>
      <c r="L173" s="152">
        <v>1485000</v>
      </c>
      <c r="M173" s="150" t="s">
        <v>252</v>
      </c>
      <c r="N173" s="154">
        <v>1</v>
      </c>
      <c r="O173" s="156">
        <v>10</v>
      </c>
      <c r="P173" s="151" t="s">
        <v>253</v>
      </c>
      <c r="Q173" s="154">
        <v>0</v>
      </c>
      <c r="R173" s="156">
        <v>0</v>
      </c>
      <c r="S173" s="151" t="s">
        <v>83</v>
      </c>
      <c r="T173" s="150" t="s">
        <v>260</v>
      </c>
      <c r="U173" s="150" t="s">
        <v>330</v>
      </c>
      <c r="V173" s="151" t="s">
        <v>432</v>
      </c>
      <c r="W173" s="151"/>
      <c r="X173" s="159">
        <v>44771</v>
      </c>
      <c r="Y173" s="151">
        <v>2022</v>
      </c>
      <c r="Z173" s="151">
        <v>7</v>
      </c>
      <c r="AA173" s="151">
        <v>29</v>
      </c>
    </row>
    <row r="174" spans="1:27" x14ac:dyDescent="0.55000000000000004">
      <c r="A174" s="151">
        <v>192</v>
      </c>
      <c r="B174" s="150"/>
      <c r="C174" s="152">
        <v>1493000</v>
      </c>
      <c r="D174" s="152">
        <v>1493000</v>
      </c>
      <c r="E174" s="152">
        <v>1493410</v>
      </c>
      <c r="F174" s="152">
        <v>0</v>
      </c>
      <c r="G174" s="152">
        <v>1493410</v>
      </c>
      <c r="H174" s="152">
        <v>1493410</v>
      </c>
      <c r="I174" s="152">
        <v>1493410</v>
      </c>
      <c r="J174" s="152">
        <v>1493410</v>
      </c>
      <c r="K174" s="152">
        <v>1493410</v>
      </c>
      <c r="L174" s="152">
        <v>1493000</v>
      </c>
      <c r="M174" s="150" t="s">
        <v>252</v>
      </c>
      <c r="N174" s="154">
        <v>1</v>
      </c>
      <c r="O174" s="156">
        <v>18</v>
      </c>
      <c r="P174" s="151" t="s">
        <v>253</v>
      </c>
      <c r="Q174" s="154">
        <v>0</v>
      </c>
      <c r="R174" s="156">
        <v>0</v>
      </c>
      <c r="S174" s="151" t="s">
        <v>83</v>
      </c>
      <c r="T174" s="150" t="s">
        <v>303</v>
      </c>
      <c r="U174" s="150" t="s">
        <v>384</v>
      </c>
      <c r="V174" s="151" t="s">
        <v>432</v>
      </c>
      <c r="W174" s="151"/>
      <c r="X174" s="159">
        <v>44771</v>
      </c>
      <c r="Y174" s="151">
        <v>2022</v>
      </c>
      <c r="Z174" s="151">
        <v>7</v>
      </c>
      <c r="AA174" s="151">
        <v>29</v>
      </c>
    </row>
    <row r="175" spans="1:27" x14ac:dyDescent="0.55000000000000004">
      <c r="A175" s="151">
        <v>193</v>
      </c>
      <c r="B175" s="150"/>
      <c r="C175" s="152">
        <v>1493000</v>
      </c>
      <c r="D175" s="152">
        <v>1493000</v>
      </c>
      <c r="E175" s="152">
        <v>1493360</v>
      </c>
      <c r="F175" s="152">
        <v>0</v>
      </c>
      <c r="G175" s="152">
        <v>1493360</v>
      </c>
      <c r="H175" s="152">
        <v>1493360</v>
      </c>
      <c r="I175" s="152">
        <v>1493360</v>
      </c>
      <c r="J175" s="152">
        <v>1493360</v>
      </c>
      <c r="K175" s="152">
        <v>1493360</v>
      </c>
      <c r="L175" s="152">
        <v>1493000</v>
      </c>
      <c r="M175" s="150" t="s">
        <v>252</v>
      </c>
      <c r="N175" s="154">
        <v>1</v>
      </c>
      <c r="O175" s="156">
        <v>6</v>
      </c>
      <c r="P175" s="151" t="s">
        <v>253</v>
      </c>
      <c r="Q175" s="154">
        <v>0</v>
      </c>
      <c r="R175" s="156">
        <v>0</v>
      </c>
      <c r="S175" s="151" t="s">
        <v>83</v>
      </c>
      <c r="T175" s="150" t="s">
        <v>385</v>
      </c>
      <c r="U175" s="150" t="s">
        <v>386</v>
      </c>
      <c r="V175" s="151" t="s">
        <v>432</v>
      </c>
      <c r="W175" s="151"/>
      <c r="X175" s="159">
        <v>44771</v>
      </c>
      <c r="Y175" s="151">
        <v>2022</v>
      </c>
      <c r="Z175" s="151">
        <v>7</v>
      </c>
      <c r="AA175" s="151">
        <v>29</v>
      </c>
    </row>
    <row r="176" spans="1:27" x14ac:dyDescent="0.55000000000000004">
      <c r="A176" s="151">
        <v>194</v>
      </c>
      <c r="B176" s="150"/>
      <c r="C176" s="152">
        <v>6914000</v>
      </c>
      <c r="D176" s="152">
        <v>6914000</v>
      </c>
      <c r="E176" s="152">
        <v>6914600</v>
      </c>
      <c r="F176" s="152">
        <v>0</v>
      </c>
      <c r="G176" s="152">
        <v>6914600</v>
      </c>
      <c r="H176" s="152">
        <v>6914600</v>
      </c>
      <c r="I176" s="152">
        <v>6914600</v>
      </c>
      <c r="J176" s="152">
        <v>6914600</v>
      </c>
      <c r="K176" s="152">
        <v>6914600</v>
      </c>
      <c r="L176" s="152">
        <v>6914000</v>
      </c>
      <c r="M176" s="150" t="s">
        <v>280</v>
      </c>
      <c r="N176" s="154">
        <v>1</v>
      </c>
      <c r="O176" s="156">
        <v>30</v>
      </c>
      <c r="P176" s="151" t="s">
        <v>253</v>
      </c>
      <c r="Q176" s="154">
        <v>0</v>
      </c>
      <c r="R176" s="156">
        <v>0</v>
      </c>
      <c r="S176" s="151" t="s">
        <v>83</v>
      </c>
      <c r="T176" s="150" t="s">
        <v>260</v>
      </c>
      <c r="U176" s="150" t="s">
        <v>299</v>
      </c>
      <c r="V176" s="151" t="s">
        <v>433</v>
      </c>
      <c r="W176" s="151"/>
      <c r="X176" s="159">
        <v>44771</v>
      </c>
      <c r="Y176" s="151">
        <v>2022</v>
      </c>
      <c r="Z176" s="151">
        <v>7</v>
      </c>
      <c r="AA176" s="151">
        <v>29</v>
      </c>
    </row>
    <row r="177" spans="1:27" x14ac:dyDescent="0.55000000000000004">
      <c r="A177" s="151">
        <v>196</v>
      </c>
      <c r="B177" s="150"/>
      <c r="C177" s="152">
        <v>1463000</v>
      </c>
      <c r="D177" s="152">
        <v>1463000</v>
      </c>
      <c r="E177" s="152">
        <v>1463688</v>
      </c>
      <c r="F177" s="152">
        <v>0</v>
      </c>
      <c r="G177" s="152">
        <v>1463688</v>
      </c>
      <c r="H177" s="152">
        <v>1463688</v>
      </c>
      <c r="I177" s="152">
        <v>1463688</v>
      </c>
      <c r="J177" s="152">
        <v>1463688</v>
      </c>
      <c r="K177" s="152">
        <v>1463688</v>
      </c>
      <c r="L177" s="152">
        <v>1463000</v>
      </c>
      <c r="M177" s="150" t="s">
        <v>252</v>
      </c>
      <c r="N177" s="154">
        <v>1</v>
      </c>
      <c r="O177" s="156">
        <v>18</v>
      </c>
      <c r="P177" s="151" t="s">
        <v>253</v>
      </c>
      <c r="Q177" s="154">
        <v>0</v>
      </c>
      <c r="R177" s="156">
        <v>0</v>
      </c>
      <c r="S177" s="151" t="s">
        <v>83</v>
      </c>
      <c r="T177" s="150" t="s">
        <v>256</v>
      </c>
      <c r="U177" s="150" t="s">
        <v>342</v>
      </c>
      <c r="V177" s="151" t="s">
        <v>432</v>
      </c>
      <c r="W177" s="151"/>
      <c r="X177" s="159">
        <v>44771</v>
      </c>
      <c r="Y177" s="151">
        <v>2022</v>
      </c>
      <c r="Z177" s="151">
        <v>7</v>
      </c>
      <c r="AA177" s="151">
        <v>29</v>
      </c>
    </row>
    <row r="178" spans="1:27" x14ac:dyDescent="0.55000000000000004">
      <c r="A178" s="151">
        <v>197</v>
      </c>
      <c r="B178" s="150"/>
      <c r="C178" s="152">
        <v>1515000</v>
      </c>
      <c r="D178" s="152">
        <v>1515000</v>
      </c>
      <c r="E178" s="152">
        <v>1515800</v>
      </c>
      <c r="F178" s="152">
        <v>0</v>
      </c>
      <c r="G178" s="152">
        <v>1515800</v>
      </c>
      <c r="H178" s="152">
        <v>1515800</v>
      </c>
      <c r="I178" s="152">
        <v>1515800</v>
      </c>
      <c r="J178" s="152">
        <v>1515800</v>
      </c>
      <c r="K178" s="152">
        <v>1515800</v>
      </c>
      <c r="L178" s="152">
        <v>1515000</v>
      </c>
      <c r="M178" s="150" t="s">
        <v>252</v>
      </c>
      <c r="N178" s="154">
        <v>1</v>
      </c>
      <c r="O178" s="156">
        <v>6</v>
      </c>
      <c r="P178" s="151" t="s">
        <v>253</v>
      </c>
      <c r="Q178" s="154">
        <v>0</v>
      </c>
      <c r="R178" s="156">
        <v>0</v>
      </c>
      <c r="S178" s="151" t="s">
        <v>83</v>
      </c>
      <c r="T178" s="150" t="s">
        <v>254</v>
      </c>
      <c r="U178" s="150" t="s">
        <v>286</v>
      </c>
      <c r="V178" s="151" t="s">
        <v>432</v>
      </c>
      <c r="W178" s="151"/>
      <c r="X178" s="159">
        <v>44771</v>
      </c>
      <c r="Y178" s="151">
        <v>2022</v>
      </c>
      <c r="Z178" s="151">
        <v>7</v>
      </c>
      <c r="AA178" s="151">
        <v>29</v>
      </c>
    </row>
    <row r="179" spans="1:27" x14ac:dyDescent="0.55000000000000004">
      <c r="A179" s="151">
        <v>198</v>
      </c>
      <c r="B179" s="150"/>
      <c r="C179" s="152">
        <v>1408000</v>
      </c>
      <c r="D179" s="152">
        <v>1408000</v>
      </c>
      <c r="E179" s="152">
        <v>1408687</v>
      </c>
      <c r="F179" s="152">
        <v>0</v>
      </c>
      <c r="G179" s="152">
        <v>1408687</v>
      </c>
      <c r="H179" s="152">
        <v>1408687</v>
      </c>
      <c r="I179" s="152">
        <v>1408687</v>
      </c>
      <c r="J179" s="152">
        <v>1408687</v>
      </c>
      <c r="K179" s="152">
        <v>1408687</v>
      </c>
      <c r="L179" s="152">
        <v>1408000</v>
      </c>
      <c r="M179" s="150" t="s">
        <v>252</v>
      </c>
      <c r="N179" s="154">
        <v>1</v>
      </c>
      <c r="O179" s="156">
        <v>10</v>
      </c>
      <c r="P179" s="151" t="s">
        <v>253</v>
      </c>
      <c r="Q179" s="154">
        <v>0</v>
      </c>
      <c r="R179" s="156">
        <v>0</v>
      </c>
      <c r="S179" s="151" t="s">
        <v>83</v>
      </c>
      <c r="T179" s="150" t="s">
        <v>256</v>
      </c>
      <c r="U179" s="150" t="s">
        <v>448</v>
      </c>
      <c r="V179" s="151" t="s">
        <v>432</v>
      </c>
      <c r="W179" s="151"/>
      <c r="X179" s="159">
        <v>44771</v>
      </c>
      <c r="Y179" s="151">
        <v>2022</v>
      </c>
      <c r="Z179" s="151">
        <v>7</v>
      </c>
      <c r="AA179" s="151">
        <v>29</v>
      </c>
    </row>
    <row r="180" spans="1:27" x14ac:dyDescent="0.55000000000000004">
      <c r="A180" s="151">
        <v>199</v>
      </c>
      <c r="B180" s="150"/>
      <c r="C180" s="152">
        <v>1430000</v>
      </c>
      <c r="D180" s="152">
        <v>1430000</v>
      </c>
      <c r="E180" s="152">
        <v>1430000</v>
      </c>
      <c r="F180" s="152">
        <v>0</v>
      </c>
      <c r="G180" s="152">
        <v>1430000</v>
      </c>
      <c r="H180" s="152">
        <v>1430000</v>
      </c>
      <c r="I180" s="152">
        <v>1430000</v>
      </c>
      <c r="J180" s="152">
        <v>1430000</v>
      </c>
      <c r="K180" s="152">
        <v>1430000</v>
      </c>
      <c r="L180" s="152">
        <v>1430000</v>
      </c>
      <c r="M180" s="150" t="s">
        <v>252</v>
      </c>
      <c r="N180" s="154">
        <v>1</v>
      </c>
      <c r="O180" s="156">
        <v>18</v>
      </c>
      <c r="P180" s="151" t="s">
        <v>253</v>
      </c>
      <c r="Q180" s="154">
        <v>0</v>
      </c>
      <c r="R180" s="156">
        <v>0</v>
      </c>
      <c r="S180" s="151" t="s">
        <v>83</v>
      </c>
      <c r="T180" s="150" t="s">
        <v>256</v>
      </c>
      <c r="U180" s="150" t="s">
        <v>387</v>
      </c>
      <c r="V180" s="151" t="s">
        <v>432</v>
      </c>
      <c r="W180" s="151"/>
      <c r="X180" s="159">
        <v>44771</v>
      </c>
      <c r="Y180" s="151">
        <v>2022</v>
      </c>
      <c r="Z180" s="151">
        <v>7</v>
      </c>
      <c r="AA180" s="151">
        <v>29</v>
      </c>
    </row>
    <row r="181" spans="1:27" x14ac:dyDescent="0.55000000000000004">
      <c r="A181" s="151">
        <v>200</v>
      </c>
      <c r="B181" s="150"/>
      <c r="C181" s="152">
        <v>1571000</v>
      </c>
      <c r="D181" s="152">
        <v>1571000</v>
      </c>
      <c r="E181" s="152">
        <v>1571705</v>
      </c>
      <c r="F181" s="152">
        <v>0</v>
      </c>
      <c r="G181" s="152">
        <v>1571705</v>
      </c>
      <c r="H181" s="152">
        <v>1571705</v>
      </c>
      <c r="I181" s="152">
        <v>1571705</v>
      </c>
      <c r="J181" s="152">
        <v>1571705</v>
      </c>
      <c r="K181" s="152">
        <v>1571705</v>
      </c>
      <c r="L181" s="152">
        <v>1571000</v>
      </c>
      <c r="M181" s="150" t="s">
        <v>252</v>
      </c>
      <c r="N181" s="154">
        <v>1</v>
      </c>
      <c r="O181" s="156">
        <v>20</v>
      </c>
      <c r="P181" s="151" t="s">
        <v>253</v>
      </c>
      <c r="Q181" s="154">
        <v>0</v>
      </c>
      <c r="R181" s="156">
        <v>0</v>
      </c>
      <c r="S181" s="151" t="s">
        <v>83</v>
      </c>
      <c r="T181" s="150" t="s">
        <v>256</v>
      </c>
      <c r="U181" s="150" t="s">
        <v>257</v>
      </c>
      <c r="V181" s="151" t="s">
        <v>432</v>
      </c>
      <c r="W181" s="151"/>
      <c r="X181" s="159">
        <v>44771</v>
      </c>
      <c r="Y181" s="151">
        <v>2022</v>
      </c>
      <c r="Z181" s="151">
        <v>7</v>
      </c>
      <c r="AA181" s="151">
        <v>29</v>
      </c>
    </row>
    <row r="182" spans="1:27" x14ac:dyDescent="0.55000000000000004">
      <c r="A182" s="151">
        <v>201</v>
      </c>
      <c r="B182" s="150"/>
      <c r="C182" s="152">
        <v>1463000</v>
      </c>
      <c r="D182" s="152">
        <v>1463000</v>
      </c>
      <c r="E182" s="152">
        <v>1463688</v>
      </c>
      <c r="F182" s="152">
        <v>0</v>
      </c>
      <c r="G182" s="152">
        <v>1463688</v>
      </c>
      <c r="H182" s="152">
        <v>1463688</v>
      </c>
      <c r="I182" s="152">
        <v>1463688</v>
      </c>
      <c r="J182" s="152">
        <v>1463688</v>
      </c>
      <c r="K182" s="152">
        <v>1463688</v>
      </c>
      <c r="L182" s="152">
        <v>1463000</v>
      </c>
      <c r="M182" s="150" t="s">
        <v>252</v>
      </c>
      <c r="N182" s="154">
        <v>1</v>
      </c>
      <c r="O182" s="156">
        <v>10</v>
      </c>
      <c r="P182" s="151" t="s">
        <v>253</v>
      </c>
      <c r="Q182" s="154">
        <v>0</v>
      </c>
      <c r="R182" s="156">
        <v>0</v>
      </c>
      <c r="S182" s="151" t="s">
        <v>83</v>
      </c>
      <c r="T182" s="150" t="s">
        <v>254</v>
      </c>
      <c r="U182" s="150" t="s">
        <v>388</v>
      </c>
      <c r="V182" s="151" t="s">
        <v>432</v>
      </c>
      <c r="W182" s="151"/>
      <c r="X182" s="159">
        <v>44771</v>
      </c>
      <c r="Y182" s="151">
        <v>2022</v>
      </c>
      <c r="Z182" s="151">
        <v>7</v>
      </c>
      <c r="AA182" s="151">
        <v>29</v>
      </c>
    </row>
    <row r="183" spans="1:27" x14ac:dyDescent="0.55000000000000004">
      <c r="A183" s="151">
        <v>202</v>
      </c>
      <c r="B183" s="150"/>
      <c r="C183" s="152">
        <v>1456000</v>
      </c>
      <c r="D183" s="152">
        <v>1456000</v>
      </c>
      <c r="E183" s="152">
        <v>1456400</v>
      </c>
      <c r="F183" s="152">
        <v>0</v>
      </c>
      <c r="G183" s="152">
        <v>1456400</v>
      </c>
      <c r="H183" s="152">
        <v>1456400</v>
      </c>
      <c r="I183" s="152">
        <v>1456400</v>
      </c>
      <c r="J183" s="152">
        <v>1456400</v>
      </c>
      <c r="K183" s="152">
        <v>1456400</v>
      </c>
      <c r="L183" s="152">
        <v>1456000</v>
      </c>
      <c r="M183" s="150" t="s">
        <v>252</v>
      </c>
      <c r="N183" s="154">
        <v>1</v>
      </c>
      <c r="O183" s="156">
        <v>24</v>
      </c>
      <c r="P183" s="151" t="s">
        <v>253</v>
      </c>
      <c r="Q183" s="154">
        <v>0</v>
      </c>
      <c r="R183" s="156">
        <v>0</v>
      </c>
      <c r="S183" s="151" t="s">
        <v>83</v>
      </c>
      <c r="T183" s="150" t="s">
        <v>321</v>
      </c>
      <c r="U183" s="150" t="s">
        <v>389</v>
      </c>
      <c r="V183" s="151" t="s">
        <v>432</v>
      </c>
      <c r="W183" s="151"/>
      <c r="X183" s="159">
        <v>44771</v>
      </c>
      <c r="Y183" s="151">
        <v>2022</v>
      </c>
      <c r="Z183" s="151">
        <v>7</v>
      </c>
      <c r="AA183" s="151">
        <v>29</v>
      </c>
    </row>
    <row r="184" spans="1:27" x14ac:dyDescent="0.55000000000000004">
      <c r="A184" s="151">
        <v>203</v>
      </c>
      <c r="B184" s="150"/>
      <c r="C184" s="152">
        <v>2860000</v>
      </c>
      <c r="D184" s="152">
        <v>2860000</v>
      </c>
      <c r="E184" s="152">
        <v>2860000</v>
      </c>
      <c r="F184" s="152">
        <v>0</v>
      </c>
      <c r="G184" s="152">
        <v>2860000</v>
      </c>
      <c r="H184" s="152">
        <v>2860000</v>
      </c>
      <c r="I184" s="152">
        <v>2860000</v>
      </c>
      <c r="J184" s="152">
        <v>2860000</v>
      </c>
      <c r="K184" s="152">
        <v>2860000</v>
      </c>
      <c r="L184" s="152">
        <v>2860000</v>
      </c>
      <c r="M184" s="150" t="s">
        <v>252</v>
      </c>
      <c r="N184" s="154">
        <v>2</v>
      </c>
      <c r="O184" s="156">
        <v>8</v>
      </c>
      <c r="P184" s="151" t="s">
        <v>253</v>
      </c>
      <c r="Q184" s="154">
        <v>0</v>
      </c>
      <c r="R184" s="156">
        <v>0</v>
      </c>
      <c r="S184" s="151" t="s">
        <v>83</v>
      </c>
      <c r="T184" s="150" t="s">
        <v>254</v>
      </c>
      <c r="U184" s="150" t="s">
        <v>309</v>
      </c>
      <c r="V184" s="151" t="s">
        <v>432</v>
      </c>
      <c r="W184" s="151"/>
      <c r="X184" s="159">
        <v>44771</v>
      </c>
      <c r="Y184" s="151">
        <v>2022</v>
      </c>
      <c r="Z184" s="151">
        <v>7</v>
      </c>
      <c r="AA184" s="151">
        <v>29</v>
      </c>
    </row>
    <row r="185" spans="1:27" x14ac:dyDescent="0.55000000000000004">
      <c r="A185" s="151">
        <v>204</v>
      </c>
      <c r="B185" s="150"/>
      <c r="C185" s="152">
        <v>1463000</v>
      </c>
      <c r="D185" s="152">
        <v>1463000</v>
      </c>
      <c r="E185" s="152">
        <v>1463688</v>
      </c>
      <c r="F185" s="152">
        <v>0</v>
      </c>
      <c r="G185" s="152">
        <v>1463688</v>
      </c>
      <c r="H185" s="152">
        <v>1463688</v>
      </c>
      <c r="I185" s="152">
        <v>1463688</v>
      </c>
      <c r="J185" s="152">
        <v>1463688</v>
      </c>
      <c r="K185" s="152">
        <v>1463688</v>
      </c>
      <c r="L185" s="152">
        <v>1463000</v>
      </c>
      <c r="M185" s="150" t="s">
        <v>269</v>
      </c>
      <c r="N185" s="154">
        <v>1</v>
      </c>
      <c r="O185" s="156">
        <v>10</v>
      </c>
      <c r="P185" s="151" t="s">
        <v>253</v>
      </c>
      <c r="Q185" s="154">
        <v>0</v>
      </c>
      <c r="R185" s="156">
        <v>0</v>
      </c>
      <c r="S185" s="151" t="s">
        <v>83</v>
      </c>
      <c r="T185" s="150" t="s">
        <v>274</v>
      </c>
      <c r="U185" s="150" t="s">
        <v>390</v>
      </c>
      <c r="V185" s="151" t="s">
        <v>432</v>
      </c>
      <c r="W185" s="151"/>
      <c r="X185" s="159">
        <v>44771</v>
      </c>
      <c r="Y185" s="151">
        <v>2022</v>
      </c>
      <c r="Z185" s="151">
        <v>7</v>
      </c>
      <c r="AA185" s="151">
        <v>29</v>
      </c>
    </row>
    <row r="186" spans="1:27" x14ac:dyDescent="0.55000000000000004">
      <c r="A186" s="151">
        <v>205</v>
      </c>
      <c r="B186" s="150"/>
      <c r="C186" s="152">
        <v>1330000</v>
      </c>
      <c r="D186" s="152">
        <v>1330000</v>
      </c>
      <c r="E186" s="152">
        <v>1330625</v>
      </c>
      <c r="F186" s="152">
        <v>0</v>
      </c>
      <c r="G186" s="152">
        <v>1330625</v>
      </c>
      <c r="H186" s="152">
        <v>1330625</v>
      </c>
      <c r="I186" s="152">
        <v>1330625</v>
      </c>
      <c r="J186" s="152">
        <v>1330625</v>
      </c>
      <c r="K186" s="152">
        <v>1330625</v>
      </c>
      <c r="L186" s="152">
        <v>1330000</v>
      </c>
      <c r="M186" s="150" t="s">
        <v>252</v>
      </c>
      <c r="N186" s="154">
        <v>1</v>
      </c>
      <c r="O186" s="156">
        <v>10</v>
      </c>
      <c r="P186" s="151" t="s">
        <v>253</v>
      </c>
      <c r="Q186" s="154">
        <v>0</v>
      </c>
      <c r="R186" s="156">
        <v>0</v>
      </c>
      <c r="S186" s="151" t="s">
        <v>83</v>
      </c>
      <c r="T186" s="150" t="s">
        <v>264</v>
      </c>
      <c r="U186" s="150" t="s">
        <v>323</v>
      </c>
      <c r="V186" s="151" t="s">
        <v>432</v>
      </c>
      <c r="W186" s="151"/>
      <c r="X186" s="159">
        <v>44771</v>
      </c>
      <c r="Y186" s="151">
        <v>2022</v>
      </c>
      <c r="Z186" s="151">
        <v>7</v>
      </c>
      <c r="AA186" s="151">
        <v>29</v>
      </c>
    </row>
    <row r="187" spans="1:27" x14ac:dyDescent="0.55000000000000004">
      <c r="A187" s="151">
        <v>207</v>
      </c>
      <c r="B187" s="150"/>
      <c r="C187" s="152">
        <v>1602000</v>
      </c>
      <c r="D187" s="152">
        <v>1602000</v>
      </c>
      <c r="E187" s="152">
        <v>1602700</v>
      </c>
      <c r="F187" s="152">
        <v>0</v>
      </c>
      <c r="G187" s="152">
        <v>1602700</v>
      </c>
      <c r="H187" s="152">
        <v>1602700</v>
      </c>
      <c r="I187" s="152">
        <v>1602700</v>
      </c>
      <c r="J187" s="152">
        <v>1602700</v>
      </c>
      <c r="K187" s="152">
        <v>1602700</v>
      </c>
      <c r="L187" s="152">
        <v>1602000</v>
      </c>
      <c r="M187" s="150" t="s">
        <v>252</v>
      </c>
      <c r="N187" s="154">
        <v>1</v>
      </c>
      <c r="O187" s="156">
        <v>10</v>
      </c>
      <c r="P187" s="151" t="s">
        <v>253</v>
      </c>
      <c r="Q187" s="154">
        <v>0</v>
      </c>
      <c r="R187" s="156">
        <v>0</v>
      </c>
      <c r="S187" s="151" t="s">
        <v>83</v>
      </c>
      <c r="T187" s="150" t="s">
        <v>266</v>
      </c>
      <c r="U187" s="150" t="s">
        <v>391</v>
      </c>
      <c r="V187" s="151" t="s">
        <v>432</v>
      </c>
      <c r="W187" s="151"/>
      <c r="X187" s="159">
        <v>44771</v>
      </c>
      <c r="Y187" s="151">
        <v>2022</v>
      </c>
      <c r="Z187" s="151">
        <v>7</v>
      </c>
      <c r="AA187" s="151">
        <v>29</v>
      </c>
    </row>
    <row r="188" spans="1:27" x14ac:dyDescent="0.55000000000000004">
      <c r="A188" s="151">
        <v>209</v>
      </c>
      <c r="B188" s="150"/>
      <c r="C188" s="152">
        <v>1463000</v>
      </c>
      <c r="D188" s="152">
        <v>1463000</v>
      </c>
      <c r="E188" s="152">
        <v>1463688</v>
      </c>
      <c r="F188" s="152">
        <v>0</v>
      </c>
      <c r="G188" s="152">
        <v>1463688</v>
      </c>
      <c r="H188" s="152">
        <v>1463688</v>
      </c>
      <c r="I188" s="152">
        <v>1463688</v>
      </c>
      <c r="J188" s="152">
        <v>1463688</v>
      </c>
      <c r="K188" s="152">
        <v>1463688</v>
      </c>
      <c r="L188" s="152">
        <v>1463000</v>
      </c>
      <c r="M188" s="150" t="s">
        <v>252</v>
      </c>
      <c r="N188" s="154">
        <v>1</v>
      </c>
      <c r="O188" s="156">
        <v>5</v>
      </c>
      <c r="P188" s="151" t="s">
        <v>253</v>
      </c>
      <c r="Q188" s="154">
        <v>0</v>
      </c>
      <c r="R188" s="156">
        <v>0</v>
      </c>
      <c r="S188" s="151" t="s">
        <v>83</v>
      </c>
      <c r="T188" s="150" t="s">
        <v>260</v>
      </c>
      <c r="U188" s="150" t="s">
        <v>354</v>
      </c>
      <c r="V188" s="151" t="s">
        <v>432</v>
      </c>
      <c r="W188" s="151"/>
      <c r="X188" s="159">
        <v>44771</v>
      </c>
      <c r="Y188" s="151">
        <v>2022</v>
      </c>
      <c r="Z188" s="151">
        <v>7</v>
      </c>
      <c r="AA188" s="151">
        <v>29</v>
      </c>
    </row>
    <row r="189" spans="1:27" x14ac:dyDescent="0.55000000000000004">
      <c r="A189" s="151">
        <v>211</v>
      </c>
      <c r="B189" s="150"/>
      <c r="C189" s="152">
        <v>1540000</v>
      </c>
      <c r="D189" s="152">
        <v>1540000</v>
      </c>
      <c r="E189" s="152">
        <v>1540000</v>
      </c>
      <c r="F189" s="152">
        <v>0</v>
      </c>
      <c r="G189" s="152">
        <v>1540000</v>
      </c>
      <c r="H189" s="152">
        <v>1540000</v>
      </c>
      <c r="I189" s="152">
        <v>1540000</v>
      </c>
      <c r="J189" s="152">
        <v>1540000</v>
      </c>
      <c r="K189" s="152">
        <v>1540000</v>
      </c>
      <c r="L189" s="152">
        <v>1540000</v>
      </c>
      <c r="M189" s="150" t="s">
        <v>252</v>
      </c>
      <c r="N189" s="154">
        <v>1</v>
      </c>
      <c r="O189" s="156">
        <v>6</v>
      </c>
      <c r="P189" s="151" t="s">
        <v>253</v>
      </c>
      <c r="Q189" s="154">
        <v>0</v>
      </c>
      <c r="R189" s="156">
        <v>0</v>
      </c>
      <c r="S189" s="151" t="s">
        <v>83</v>
      </c>
      <c r="T189" s="150" t="s">
        <v>264</v>
      </c>
      <c r="U189" s="150" t="s">
        <v>392</v>
      </c>
      <c r="V189" s="151" t="s">
        <v>432</v>
      </c>
      <c r="W189" s="151"/>
      <c r="X189" s="159">
        <v>44771</v>
      </c>
      <c r="Y189" s="151">
        <v>2022</v>
      </c>
      <c r="Z189" s="151">
        <v>7</v>
      </c>
      <c r="AA189" s="151">
        <v>29</v>
      </c>
    </row>
    <row r="190" spans="1:27" x14ac:dyDescent="0.55000000000000004">
      <c r="A190" s="151">
        <v>213</v>
      </c>
      <c r="B190" s="150"/>
      <c r="C190" s="152">
        <v>1497000</v>
      </c>
      <c r="D190" s="152">
        <v>1497000</v>
      </c>
      <c r="E190" s="152">
        <v>1497376</v>
      </c>
      <c r="F190" s="152">
        <v>0</v>
      </c>
      <c r="G190" s="152">
        <v>1497376</v>
      </c>
      <c r="H190" s="152">
        <v>1497376</v>
      </c>
      <c r="I190" s="152">
        <v>1497376</v>
      </c>
      <c r="J190" s="152">
        <v>1497376</v>
      </c>
      <c r="K190" s="152">
        <v>1497376</v>
      </c>
      <c r="L190" s="152">
        <v>1497000</v>
      </c>
      <c r="M190" s="150" t="s">
        <v>252</v>
      </c>
      <c r="N190" s="154">
        <v>1</v>
      </c>
      <c r="O190" s="156">
        <v>5</v>
      </c>
      <c r="P190" s="151" t="s">
        <v>253</v>
      </c>
      <c r="Q190" s="154">
        <v>0</v>
      </c>
      <c r="R190" s="156">
        <v>0</v>
      </c>
      <c r="S190" s="151" t="s">
        <v>83</v>
      </c>
      <c r="T190" s="150" t="s">
        <v>266</v>
      </c>
      <c r="U190" s="150" t="s">
        <v>367</v>
      </c>
      <c r="V190" s="151" t="s">
        <v>432</v>
      </c>
      <c r="W190" s="151"/>
      <c r="X190" s="159">
        <v>44771</v>
      </c>
      <c r="Y190" s="151">
        <v>2022</v>
      </c>
      <c r="Z190" s="151">
        <v>7</v>
      </c>
      <c r="AA190" s="151">
        <v>29</v>
      </c>
    </row>
    <row r="191" spans="1:27" x14ac:dyDescent="0.55000000000000004">
      <c r="A191" s="151">
        <v>214</v>
      </c>
      <c r="B191" s="150"/>
      <c r="C191" s="152">
        <v>1603000</v>
      </c>
      <c r="D191" s="152">
        <v>1603000</v>
      </c>
      <c r="E191" s="152">
        <v>1603410</v>
      </c>
      <c r="F191" s="152">
        <v>0</v>
      </c>
      <c r="G191" s="152">
        <v>1603410</v>
      </c>
      <c r="H191" s="152">
        <v>1603410</v>
      </c>
      <c r="I191" s="152">
        <v>1603410</v>
      </c>
      <c r="J191" s="152">
        <v>1603410</v>
      </c>
      <c r="K191" s="152">
        <v>1603410</v>
      </c>
      <c r="L191" s="152">
        <v>1603000</v>
      </c>
      <c r="M191" s="150" t="s">
        <v>269</v>
      </c>
      <c r="N191" s="154">
        <v>1</v>
      </c>
      <c r="O191" s="156">
        <v>20</v>
      </c>
      <c r="P191" s="151" t="s">
        <v>253</v>
      </c>
      <c r="Q191" s="154">
        <v>0</v>
      </c>
      <c r="R191" s="156">
        <v>0</v>
      </c>
      <c r="S191" s="151" t="s">
        <v>83</v>
      </c>
      <c r="T191" s="150" t="s">
        <v>258</v>
      </c>
      <c r="U191" s="150" t="s">
        <v>375</v>
      </c>
      <c r="V191" s="151" t="s">
        <v>432</v>
      </c>
      <c r="W191" s="151"/>
      <c r="X191" s="159">
        <v>44771</v>
      </c>
      <c r="Y191" s="151">
        <v>2022</v>
      </c>
      <c r="Z191" s="151">
        <v>7</v>
      </c>
      <c r="AA191" s="151">
        <v>29</v>
      </c>
    </row>
    <row r="192" spans="1:27" x14ac:dyDescent="0.55000000000000004">
      <c r="A192" s="151">
        <v>215</v>
      </c>
      <c r="B192" s="150"/>
      <c r="C192" s="152">
        <v>1463000</v>
      </c>
      <c r="D192" s="152">
        <v>1463000</v>
      </c>
      <c r="E192" s="152">
        <v>1463688</v>
      </c>
      <c r="F192" s="152">
        <v>0</v>
      </c>
      <c r="G192" s="152">
        <v>1463688</v>
      </c>
      <c r="H192" s="152">
        <v>1463688</v>
      </c>
      <c r="I192" s="152">
        <v>1463688</v>
      </c>
      <c r="J192" s="152">
        <v>1463688</v>
      </c>
      <c r="K192" s="152">
        <v>1463688</v>
      </c>
      <c r="L192" s="152">
        <v>1463000</v>
      </c>
      <c r="M192" s="150" t="s">
        <v>252</v>
      </c>
      <c r="N192" s="154">
        <v>1</v>
      </c>
      <c r="O192" s="156">
        <v>4</v>
      </c>
      <c r="P192" s="151" t="s">
        <v>253</v>
      </c>
      <c r="Q192" s="154">
        <v>0</v>
      </c>
      <c r="R192" s="156">
        <v>0</v>
      </c>
      <c r="S192" s="151" t="s">
        <v>83</v>
      </c>
      <c r="T192" s="150" t="s">
        <v>254</v>
      </c>
      <c r="U192" s="150" t="s">
        <v>360</v>
      </c>
      <c r="V192" s="151" t="s">
        <v>432</v>
      </c>
      <c r="W192" s="151"/>
      <c r="X192" s="159">
        <v>44771</v>
      </c>
      <c r="Y192" s="151">
        <v>2022</v>
      </c>
      <c r="Z192" s="151">
        <v>7</v>
      </c>
      <c r="AA192" s="151">
        <v>29</v>
      </c>
    </row>
    <row r="193" spans="1:27" x14ac:dyDescent="0.55000000000000004">
      <c r="A193" s="151">
        <v>216</v>
      </c>
      <c r="B193" s="150"/>
      <c r="C193" s="152">
        <v>1463000</v>
      </c>
      <c r="D193" s="152">
        <v>1463000</v>
      </c>
      <c r="E193" s="152">
        <v>1463688</v>
      </c>
      <c r="F193" s="152">
        <v>0</v>
      </c>
      <c r="G193" s="152">
        <v>1463688</v>
      </c>
      <c r="H193" s="152">
        <v>1463688</v>
      </c>
      <c r="I193" s="152">
        <v>1463688</v>
      </c>
      <c r="J193" s="152">
        <v>1463688</v>
      </c>
      <c r="K193" s="152">
        <v>1463688</v>
      </c>
      <c r="L193" s="152">
        <v>1463000</v>
      </c>
      <c r="M193" s="150" t="s">
        <v>252</v>
      </c>
      <c r="N193" s="154">
        <v>1</v>
      </c>
      <c r="O193" s="156">
        <v>20</v>
      </c>
      <c r="P193" s="151" t="s">
        <v>253</v>
      </c>
      <c r="Q193" s="154">
        <v>0</v>
      </c>
      <c r="R193" s="156">
        <v>0</v>
      </c>
      <c r="S193" s="151" t="s">
        <v>83</v>
      </c>
      <c r="T193" s="150" t="s">
        <v>254</v>
      </c>
      <c r="U193" s="150" t="s">
        <v>393</v>
      </c>
      <c r="V193" s="151" t="s">
        <v>432</v>
      </c>
      <c r="W193" s="151"/>
      <c r="X193" s="159">
        <v>44771</v>
      </c>
      <c r="Y193" s="151">
        <v>2022</v>
      </c>
      <c r="Z193" s="151">
        <v>7</v>
      </c>
      <c r="AA193" s="151">
        <v>29</v>
      </c>
    </row>
    <row r="194" spans="1:27" x14ac:dyDescent="0.55000000000000004">
      <c r="A194" s="151">
        <v>217</v>
      </c>
      <c r="B194" s="150"/>
      <c r="C194" s="152">
        <v>26950000</v>
      </c>
      <c r="D194" s="152">
        <v>26950000</v>
      </c>
      <c r="E194" s="152">
        <v>26950000</v>
      </c>
      <c r="F194" s="152">
        <v>0</v>
      </c>
      <c r="G194" s="152">
        <v>26950000</v>
      </c>
      <c r="H194" s="152">
        <v>26950000</v>
      </c>
      <c r="I194" s="152">
        <v>26950000</v>
      </c>
      <c r="J194" s="152">
        <v>26950000</v>
      </c>
      <c r="K194" s="152">
        <v>26950000</v>
      </c>
      <c r="L194" s="152">
        <v>26950000</v>
      </c>
      <c r="M194" s="150" t="s">
        <v>269</v>
      </c>
      <c r="N194" s="154">
        <v>1</v>
      </c>
      <c r="O194" s="156">
        <v>335</v>
      </c>
      <c r="P194" s="151" t="s">
        <v>253</v>
      </c>
      <c r="Q194" s="154">
        <v>0</v>
      </c>
      <c r="R194" s="156">
        <v>0</v>
      </c>
      <c r="S194" s="151" t="s">
        <v>83</v>
      </c>
      <c r="T194" s="150" t="s">
        <v>394</v>
      </c>
      <c r="U194" s="150" t="s">
        <v>342</v>
      </c>
      <c r="V194" s="151" t="s">
        <v>432</v>
      </c>
      <c r="W194" s="151"/>
      <c r="X194" s="159">
        <v>44771</v>
      </c>
      <c r="Y194" s="151">
        <v>2022</v>
      </c>
      <c r="Z194" s="151">
        <v>7</v>
      </c>
      <c r="AA194" s="151">
        <v>29</v>
      </c>
    </row>
    <row r="195" spans="1:27" x14ac:dyDescent="0.55000000000000004">
      <c r="A195" s="151">
        <v>218</v>
      </c>
      <c r="B195" s="150"/>
      <c r="C195" s="152">
        <v>1131000</v>
      </c>
      <c r="D195" s="152">
        <v>1131000</v>
      </c>
      <c r="E195" s="152">
        <v>1131705</v>
      </c>
      <c r="F195" s="152">
        <v>0</v>
      </c>
      <c r="G195" s="152">
        <v>1131705</v>
      </c>
      <c r="H195" s="152">
        <v>1131705</v>
      </c>
      <c r="I195" s="152">
        <v>1131705</v>
      </c>
      <c r="J195" s="152">
        <v>1131705</v>
      </c>
      <c r="K195" s="152">
        <v>1131705</v>
      </c>
      <c r="L195" s="152">
        <v>1131000</v>
      </c>
      <c r="M195" s="150" t="s">
        <v>252</v>
      </c>
      <c r="N195" s="154">
        <v>1</v>
      </c>
      <c r="O195" s="156">
        <v>12</v>
      </c>
      <c r="P195" s="151" t="s">
        <v>253</v>
      </c>
      <c r="Q195" s="154">
        <v>0</v>
      </c>
      <c r="R195" s="156">
        <v>0</v>
      </c>
      <c r="S195" s="151" t="s">
        <v>83</v>
      </c>
      <c r="T195" s="150" t="s">
        <v>394</v>
      </c>
      <c r="U195" s="150" t="s">
        <v>277</v>
      </c>
      <c r="V195" s="151" t="s">
        <v>432</v>
      </c>
      <c r="W195" s="151"/>
      <c r="X195" s="159">
        <v>44771</v>
      </c>
      <c r="Y195" s="151">
        <v>2022</v>
      </c>
      <c r="Z195" s="151">
        <v>7</v>
      </c>
      <c r="AA195" s="151">
        <v>29</v>
      </c>
    </row>
    <row r="196" spans="1:27" x14ac:dyDescent="0.55000000000000004">
      <c r="A196" s="151">
        <v>219</v>
      </c>
      <c r="B196" s="150"/>
      <c r="C196" s="152">
        <v>3104000</v>
      </c>
      <c r="D196" s="152">
        <v>3104000</v>
      </c>
      <c r="E196" s="152">
        <v>3104530</v>
      </c>
      <c r="F196" s="152">
        <v>0</v>
      </c>
      <c r="G196" s="152">
        <v>3104530</v>
      </c>
      <c r="H196" s="152">
        <v>3104530</v>
      </c>
      <c r="I196" s="152">
        <v>3104530</v>
      </c>
      <c r="J196" s="152">
        <v>3104530</v>
      </c>
      <c r="K196" s="152">
        <v>3104530</v>
      </c>
      <c r="L196" s="152">
        <v>3104000</v>
      </c>
      <c r="M196" s="150" t="s">
        <v>269</v>
      </c>
      <c r="N196" s="154">
        <v>1</v>
      </c>
      <c r="O196" s="156">
        <v>8</v>
      </c>
      <c r="P196" s="151" t="s">
        <v>253</v>
      </c>
      <c r="Q196" s="154">
        <v>0</v>
      </c>
      <c r="R196" s="156">
        <v>0</v>
      </c>
      <c r="S196" s="151" t="s">
        <v>83</v>
      </c>
      <c r="T196" s="150" t="s">
        <v>266</v>
      </c>
      <c r="U196" s="150" t="s">
        <v>277</v>
      </c>
      <c r="V196" s="151" t="s">
        <v>432</v>
      </c>
      <c r="W196" s="151"/>
      <c r="X196" s="159">
        <v>44771</v>
      </c>
      <c r="Y196" s="151">
        <v>2022</v>
      </c>
      <c r="Z196" s="151">
        <v>7</v>
      </c>
      <c r="AA196" s="151">
        <v>29</v>
      </c>
    </row>
    <row r="197" spans="1:27" x14ac:dyDescent="0.55000000000000004">
      <c r="A197" s="151">
        <v>220</v>
      </c>
      <c r="B197" s="150"/>
      <c r="C197" s="152">
        <v>1463000</v>
      </c>
      <c r="D197" s="152">
        <v>1463000</v>
      </c>
      <c r="E197" s="152">
        <v>1463688</v>
      </c>
      <c r="F197" s="152">
        <v>0</v>
      </c>
      <c r="G197" s="152">
        <v>1463688</v>
      </c>
      <c r="H197" s="152">
        <v>1463688</v>
      </c>
      <c r="I197" s="152">
        <v>1463688</v>
      </c>
      <c r="J197" s="152">
        <v>1463688</v>
      </c>
      <c r="K197" s="152">
        <v>1463688</v>
      </c>
      <c r="L197" s="152">
        <v>1463000</v>
      </c>
      <c r="M197" s="150" t="s">
        <v>269</v>
      </c>
      <c r="N197" s="154">
        <v>1</v>
      </c>
      <c r="O197" s="156">
        <v>10</v>
      </c>
      <c r="P197" s="151" t="s">
        <v>253</v>
      </c>
      <c r="Q197" s="154">
        <v>0</v>
      </c>
      <c r="R197" s="156">
        <v>0</v>
      </c>
      <c r="S197" s="151" t="s">
        <v>83</v>
      </c>
      <c r="T197" s="150" t="s">
        <v>266</v>
      </c>
      <c r="U197" s="150" t="s">
        <v>330</v>
      </c>
      <c r="V197" s="151" t="s">
        <v>432</v>
      </c>
      <c r="W197" s="151"/>
      <c r="X197" s="159">
        <v>44771</v>
      </c>
      <c r="Y197" s="151">
        <v>2022</v>
      </c>
      <c r="Z197" s="151">
        <v>7</v>
      </c>
      <c r="AA197" s="151">
        <v>29</v>
      </c>
    </row>
    <row r="198" spans="1:27" x14ac:dyDescent="0.55000000000000004">
      <c r="A198" s="151">
        <v>221</v>
      </c>
      <c r="B198" s="150"/>
      <c r="C198" s="152">
        <v>1529000</v>
      </c>
      <c r="D198" s="152">
        <v>1529000</v>
      </c>
      <c r="E198" s="152">
        <v>1529000</v>
      </c>
      <c r="F198" s="152">
        <v>0</v>
      </c>
      <c r="G198" s="152">
        <v>1529000</v>
      </c>
      <c r="H198" s="152">
        <v>1529000</v>
      </c>
      <c r="I198" s="152">
        <v>1529000</v>
      </c>
      <c r="J198" s="152">
        <v>1529000</v>
      </c>
      <c r="K198" s="152">
        <v>1529000</v>
      </c>
      <c r="L198" s="152">
        <v>1529000</v>
      </c>
      <c r="M198" s="150" t="s">
        <v>252</v>
      </c>
      <c r="N198" s="154">
        <v>1</v>
      </c>
      <c r="O198" s="156">
        <v>5</v>
      </c>
      <c r="P198" s="151" t="s">
        <v>253</v>
      </c>
      <c r="Q198" s="154">
        <v>0</v>
      </c>
      <c r="R198" s="156">
        <v>0</v>
      </c>
      <c r="S198" s="151" t="s">
        <v>83</v>
      </c>
      <c r="T198" s="150" t="s">
        <v>395</v>
      </c>
      <c r="U198" s="150" t="s">
        <v>255</v>
      </c>
      <c r="V198" s="151" t="s">
        <v>432</v>
      </c>
      <c r="W198" s="151"/>
      <c r="X198" s="159">
        <v>44771</v>
      </c>
      <c r="Y198" s="151">
        <v>2022</v>
      </c>
      <c r="Z198" s="151">
        <v>7</v>
      </c>
      <c r="AA198" s="151">
        <v>29</v>
      </c>
    </row>
    <row r="199" spans="1:27" x14ac:dyDescent="0.55000000000000004">
      <c r="A199" s="151">
        <v>222</v>
      </c>
      <c r="B199" s="150"/>
      <c r="C199" s="152">
        <v>2860000</v>
      </c>
      <c r="D199" s="152">
        <v>2860000</v>
      </c>
      <c r="E199" s="152">
        <v>2860000</v>
      </c>
      <c r="F199" s="152">
        <v>0</v>
      </c>
      <c r="G199" s="152">
        <v>2860000</v>
      </c>
      <c r="H199" s="152">
        <v>2860000</v>
      </c>
      <c r="I199" s="152">
        <v>2860000</v>
      </c>
      <c r="J199" s="152">
        <v>2860000</v>
      </c>
      <c r="K199" s="152">
        <v>2860000</v>
      </c>
      <c r="L199" s="152">
        <v>2860000</v>
      </c>
      <c r="M199" s="150" t="s">
        <v>252</v>
      </c>
      <c r="N199" s="154">
        <v>2</v>
      </c>
      <c r="O199" s="156">
        <v>28</v>
      </c>
      <c r="P199" s="151" t="s">
        <v>253</v>
      </c>
      <c r="Q199" s="154">
        <v>0</v>
      </c>
      <c r="R199" s="156">
        <v>0</v>
      </c>
      <c r="S199" s="151" t="s">
        <v>83</v>
      </c>
      <c r="T199" s="150" t="s">
        <v>321</v>
      </c>
      <c r="U199" s="150" t="s">
        <v>396</v>
      </c>
      <c r="V199" s="151" t="s">
        <v>432</v>
      </c>
      <c r="W199" s="151"/>
      <c r="X199" s="159">
        <v>44771</v>
      </c>
      <c r="Y199" s="151">
        <v>2022</v>
      </c>
      <c r="Z199" s="151">
        <v>7</v>
      </c>
      <c r="AA199" s="151">
        <v>29</v>
      </c>
    </row>
    <row r="200" spans="1:27" x14ac:dyDescent="0.55000000000000004">
      <c r="A200" s="151">
        <v>223</v>
      </c>
      <c r="B200" s="150"/>
      <c r="C200" s="152">
        <v>19054000</v>
      </c>
      <c r="D200" s="152">
        <v>19054000</v>
      </c>
      <c r="E200" s="152">
        <v>19054750</v>
      </c>
      <c r="F200" s="152">
        <v>0</v>
      </c>
      <c r="G200" s="152">
        <v>19054750</v>
      </c>
      <c r="H200" s="152">
        <v>19054750</v>
      </c>
      <c r="I200" s="152">
        <v>19054750</v>
      </c>
      <c r="J200" s="152">
        <v>19054750</v>
      </c>
      <c r="K200" s="152">
        <v>19054750</v>
      </c>
      <c r="L200" s="152">
        <v>19054000</v>
      </c>
      <c r="M200" s="150" t="s">
        <v>397</v>
      </c>
      <c r="N200" s="154">
        <v>1</v>
      </c>
      <c r="O200" s="156">
        <v>48</v>
      </c>
      <c r="P200" s="151" t="s">
        <v>253</v>
      </c>
      <c r="Q200" s="154">
        <v>0</v>
      </c>
      <c r="R200" s="156">
        <v>0</v>
      </c>
      <c r="S200" s="151" t="s">
        <v>83</v>
      </c>
      <c r="T200" s="150" t="s">
        <v>266</v>
      </c>
      <c r="U200" s="150" t="s">
        <v>398</v>
      </c>
      <c r="V200" s="151" t="s">
        <v>432</v>
      </c>
      <c r="W200" s="151"/>
      <c r="X200" s="159">
        <v>44764</v>
      </c>
      <c r="Y200" s="151">
        <v>2022</v>
      </c>
      <c r="Z200" s="151">
        <v>7</v>
      </c>
      <c r="AA200" s="151">
        <v>22</v>
      </c>
    </row>
    <row r="201" spans="1:27" x14ac:dyDescent="0.55000000000000004">
      <c r="A201" s="151">
        <v>225</v>
      </c>
      <c r="B201" s="150"/>
      <c r="C201" s="152">
        <v>3396000</v>
      </c>
      <c r="D201" s="152">
        <v>3396000</v>
      </c>
      <c r="E201" s="152">
        <v>3396140</v>
      </c>
      <c r="F201" s="152">
        <v>0</v>
      </c>
      <c r="G201" s="152">
        <v>3396140</v>
      </c>
      <c r="H201" s="152">
        <v>3396140</v>
      </c>
      <c r="I201" s="152">
        <v>3396140</v>
      </c>
      <c r="J201" s="152">
        <v>3396140</v>
      </c>
      <c r="K201" s="152">
        <v>3396140</v>
      </c>
      <c r="L201" s="152">
        <v>3396000</v>
      </c>
      <c r="M201" s="150" t="s">
        <v>269</v>
      </c>
      <c r="N201" s="154">
        <v>1</v>
      </c>
      <c r="O201" s="156">
        <v>24</v>
      </c>
      <c r="P201" s="151" t="s">
        <v>253</v>
      </c>
      <c r="Q201" s="154">
        <v>0</v>
      </c>
      <c r="R201" s="156">
        <v>0</v>
      </c>
      <c r="S201" s="151" t="s">
        <v>83</v>
      </c>
      <c r="T201" s="150" t="s">
        <v>379</v>
      </c>
      <c r="U201" s="150" t="s">
        <v>399</v>
      </c>
      <c r="V201" s="151" t="s">
        <v>432</v>
      </c>
      <c r="W201" s="151"/>
      <c r="X201" s="159">
        <v>44775</v>
      </c>
      <c r="Y201" s="151">
        <v>2022</v>
      </c>
      <c r="Z201" s="151">
        <v>8</v>
      </c>
      <c r="AA201" s="151">
        <v>2</v>
      </c>
    </row>
    <row r="202" spans="1:27" x14ac:dyDescent="0.55000000000000004">
      <c r="A202" s="151">
        <v>226</v>
      </c>
      <c r="B202" s="150"/>
      <c r="C202" s="152">
        <v>1463000</v>
      </c>
      <c r="D202" s="152">
        <v>1463000</v>
      </c>
      <c r="E202" s="152">
        <v>1463687</v>
      </c>
      <c r="F202" s="152">
        <v>0</v>
      </c>
      <c r="G202" s="152">
        <v>1463687</v>
      </c>
      <c r="H202" s="152">
        <v>1463687</v>
      </c>
      <c r="I202" s="152">
        <v>1463687</v>
      </c>
      <c r="J202" s="152">
        <v>1463687</v>
      </c>
      <c r="K202" s="152">
        <v>1463687</v>
      </c>
      <c r="L202" s="152">
        <v>1463000</v>
      </c>
      <c r="M202" s="150" t="s">
        <v>252</v>
      </c>
      <c r="N202" s="154">
        <v>1</v>
      </c>
      <c r="O202" s="156">
        <v>10</v>
      </c>
      <c r="P202" s="151" t="s">
        <v>253</v>
      </c>
      <c r="Q202" s="154">
        <v>0</v>
      </c>
      <c r="R202" s="156">
        <v>0</v>
      </c>
      <c r="S202" s="151" t="s">
        <v>83</v>
      </c>
      <c r="T202" s="150" t="s">
        <v>274</v>
      </c>
      <c r="U202" s="150" t="s">
        <v>328</v>
      </c>
      <c r="V202" s="151" t="s">
        <v>432</v>
      </c>
      <c r="W202" s="151"/>
      <c r="X202" s="159">
        <v>44775</v>
      </c>
      <c r="Y202" s="151">
        <v>2022</v>
      </c>
      <c r="Z202" s="151">
        <v>8</v>
      </c>
      <c r="AA202" s="151">
        <v>2</v>
      </c>
    </row>
    <row r="203" spans="1:27" x14ac:dyDescent="0.55000000000000004">
      <c r="A203" s="151">
        <v>227</v>
      </c>
      <c r="B203" s="150"/>
      <c r="C203" s="152">
        <v>1122000</v>
      </c>
      <c r="D203" s="152">
        <v>1122000</v>
      </c>
      <c r="E203" s="152">
        <v>1122000</v>
      </c>
      <c r="F203" s="152">
        <v>0</v>
      </c>
      <c r="G203" s="152">
        <v>1122000</v>
      </c>
      <c r="H203" s="152">
        <v>1122000</v>
      </c>
      <c r="I203" s="152">
        <v>1122000</v>
      </c>
      <c r="J203" s="152">
        <v>1122000</v>
      </c>
      <c r="K203" s="152">
        <v>1122000</v>
      </c>
      <c r="L203" s="152">
        <v>1122000</v>
      </c>
      <c r="M203" s="150" t="s">
        <v>252</v>
      </c>
      <c r="N203" s="154">
        <v>1</v>
      </c>
      <c r="O203" s="156">
        <v>10</v>
      </c>
      <c r="P203" s="151" t="s">
        <v>253</v>
      </c>
      <c r="Q203" s="154">
        <v>0</v>
      </c>
      <c r="R203" s="156">
        <v>0</v>
      </c>
      <c r="S203" s="151" t="s">
        <v>83</v>
      </c>
      <c r="T203" s="150" t="s">
        <v>258</v>
      </c>
      <c r="U203" s="150" t="s">
        <v>400</v>
      </c>
      <c r="V203" s="151" t="s">
        <v>432</v>
      </c>
      <c r="W203" s="151"/>
      <c r="X203" s="159">
        <v>44775</v>
      </c>
      <c r="Y203" s="151">
        <v>2022</v>
      </c>
      <c r="Z203" s="151">
        <v>8</v>
      </c>
      <c r="AA203" s="151">
        <v>2</v>
      </c>
    </row>
    <row r="204" spans="1:27" x14ac:dyDescent="0.55000000000000004">
      <c r="A204" s="151">
        <v>229</v>
      </c>
      <c r="B204" s="150"/>
      <c r="C204" s="152">
        <v>1452000</v>
      </c>
      <c r="D204" s="152">
        <v>1452000</v>
      </c>
      <c r="E204" s="152">
        <v>1452000</v>
      </c>
      <c r="F204" s="152">
        <v>0</v>
      </c>
      <c r="G204" s="152">
        <v>1452000</v>
      </c>
      <c r="H204" s="152">
        <v>1452000</v>
      </c>
      <c r="I204" s="152">
        <v>1452000</v>
      </c>
      <c r="J204" s="152">
        <v>1452000</v>
      </c>
      <c r="K204" s="152">
        <v>1452000</v>
      </c>
      <c r="L204" s="152">
        <v>1452000</v>
      </c>
      <c r="M204" s="150" t="s">
        <v>269</v>
      </c>
      <c r="N204" s="154">
        <v>1</v>
      </c>
      <c r="O204" s="156">
        <v>10</v>
      </c>
      <c r="P204" s="151" t="s">
        <v>253</v>
      </c>
      <c r="Q204" s="154">
        <v>0</v>
      </c>
      <c r="R204" s="156">
        <v>0</v>
      </c>
      <c r="S204" s="151" t="s">
        <v>83</v>
      </c>
      <c r="T204" s="150" t="s">
        <v>274</v>
      </c>
      <c r="U204" s="150" t="s">
        <v>313</v>
      </c>
      <c r="V204" s="151" t="s">
        <v>432</v>
      </c>
      <c r="W204" s="151"/>
      <c r="X204" s="159">
        <v>44775</v>
      </c>
      <c r="Y204" s="151">
        <v>2022</v>
      </c>
      <c r="Z204" s="151">
        <v>8</v>
      </c>
      <c r="AA204" s="151">
        <v>2</v>
      </c>
    </row>
    <row r="205" spans="1:27" x14ac:dyDescent="0.55000000000000004">
      <c r="A205" s="151">
        <v>230</v>
      </c>
      <c r="B205" s="150"/>
      <c r="C205" s="152">
        <v>2200000</v>
      </c>
      <c r="D205" s="152">
        <v>2200000</v>
      </c>
      <c r="E205" s="152">
        <v>2200000</v>
      </c>
      <c r="F205" s="152">
        <v>0</v>
      </c>
      <c r="G205" s="152">
        <v>2200000</v>
      </c>
      <c r="H205" s="152">
        <v>2200000</v>
      </c>
      <c r="I205" s="152">
        <v>2200000</v>
      </c>
      <c r="J205" s="152">
        <v>2200000</v>
      </c>
      <c r="K205" s="152">
        <v>2200000</v>
      </c>
      <c r="L205" s="152">
        <v>2200000</v>
      </c>
      <c r="M205" s="150" t="s">
        <v>269</v>
      </c>
      <c r="N205" s="154">
        <v>2</v>
      </c>
      <c r="O205" s="156">
        <v>20</v>
      </c>
      <c r="P205" s="151" t="s">
        <v>253</v>
      </c>
      <c r="Q205" s="154">
        <v>0</v>
      </c>
      <c r="R205" s="156">
        <v>0</v>
      </c>
      <c r="S205" s="151" t="s">
        <v>83</v>
      </c>
      <c r="T205" s="150" t="s">
        <v>264</v>
      </c>
      <c r="U205" s="150" t="s">
        <v>358</v>
      </c>
      <c r="V205" s="151" t="s">
        <v>432</v>
      </c>
      <c r="W205" s="151"/>
      <c r="X205" s="159">
        <v>44775</v>
      </c>
      <c r="Y205" s="151">
        <v>2022</v>
      </c>
      <c r="Z205" s="151">
        <v>8</v>
      </c>
      <c r="AA205" s="151">
        <v>2</v>
      </c>
    </row>
    <row r="206" spans="1:27" x14ac:dyDescent="0.55000000000000004">
      <c r="A206" s="151">
        <v>231</v>
      </c>
      <c r="B206" s="150"/>
      <c r="C206" s="152">
        <v>38500000</v>
      </c>
      <c r="D206" s="152">
        <v>38500000</v>
      </c>
      <c r="E206" s="152">
        <v>38500000</v>
      </c>
      <c r="F206" s="152">
        <v>0</v>
      </c>
      <c r="G206" s="152">
        <v>38500000</v>
      </c>
      <c r="H206" s="152">
        <v>38500000</v>
      </c>
      <c r="I206" s="152">
        <v>38500000</v>
      </c>
      <c r="J206" s="152">
        <v>38500000</v>
      </c>
      <c r="K206" s="152">
        <v>38500000</v>
      </c>
      <c r="L206" s="152">
        <v>38500000</v>
      </c>
      <c r="M206" s="150" t="s">
        <v>269</v>
      </c>
      <c r="N206" s="154">
        <v>1</v>
      </c>
      <c r="O206" s="156">
        <v>72</v>
      </c>
      <c r="P206" s="151" t="s">
        <v>253</v>
      </c>
      <c r="Q206" s="154">
        <v>0</v>
      </c>
      <c r="R206" s="156">
        <v>0</v>
      </c>
      <c r="S206" s="151" t="s">
        <v>83</v>
      </c>
      <c r="T206" s="150" t="s">
        <v>260</v>
      </c>
      <c r="U206" s="150" t="s">
        <v>401</v>
      </c>
      <c r="V206" s="151" t="s">
        <v>432</v>
      </c>
      <c r="W206" s="151"/>
      <c r="X206" s="159">
        <v>44775</v>
      </c>
      <c r="Y206" s="151">
        <v>2022</v>
      </c>
      <c r="Z206" s="151">
        <v>8</v>
      </c>
      <c r="AA206" s="151">
        <v>2</v>
      </c>
    </row>
    <row r="207" spans="1:27" x14ac:dyDescent="0.55000000000000004">
      <c r="A207" s="151">
        <v>232</v>
      </c>
      <c r="B207" s="150"/>
      <c r="C207" s="152">
        <v>1100000</v>
      </c>
      <c r="D207" s="152">
        <v>1100000</v>
      </c>
      <c r="E207" s="152">
        <v>1100000</v>
      </c>
      <c r="F207" s="152">
        <v>0</v>
      </c>
      <c r="G207" s="152">
        <v>1100000</v>
      </c>
      <c r="H207" s="152">
        <v>1100000</v>
      </c>
      <c r="I207" s="152">
        <v>1100000</v>
      </c>
      <c r="J207" s="152">
        <v>1100000</v>
      </c>
      <c r="K207" s="152">
        <v>1100000</v>
      </c>
      <c r="L207" s="152">
        <v>1100000</v>
      </c>
      <c r="M207" s="150" t="s">
        <v>252</v>
      </c>
      <c r="N207" s="154">
        <v>1</v>
      </c>
      <c r="O207" s="156">
        <v>28</v>
      </c>
      <c r="P207" s="151" t="s">
        <v>253</v>
      </c>
      <c r="Q207" s="154">
        <v>0</v>
      </c>
      <c r="R207" s="156">
        <v>0</v>
      </c>
      <c r="S207" s="151" t="s">
        <v>83</v>
      </c>
      <c r="T207" s="150" t="s">
        <v>311</v>
      </c>
      <c r="U207" s="150" t="s">
        <v>392</v>
      </c>
      <c r="V207" s="151" t="s">
        <v>432</v>
      </c>
      <c r="W207" s="151"/>
      <c r="X207" s="159">
        <v>44775</v>
      </c>
      <c r="Y207" s="151">
        <v>2022</v>
      </c>
      <c r="Z207" s="151">
        <v>8</v>
      </c>
      <c r="AA207" s="151">
        <v>2</v>
      </c>
    </row>
    <row r="208" spans="1:27" x14ac:dyDescent="0.55000000000000004">
      <c r="A208" s="151">
        <v>233</v>
      </c>
      <c r="B208" s="150"/>
      <c r="C208" s="152">
        <v>1529000</v>
      </c>
      <c r="D208" s="152">
        <v>1529000</v>
      </c>
      <c r="E208" s="152">
        <v>1529000</v>
      </c>
      <c r="F208" s="152">
        <v>0</v>
      </c>
      <c r="G208" s="152">
        <v>1529000</v>
      </c>
      <c r="H208" s="152">
        <v>1529000</v>
      </c>
      <c r="I208" s="152">
        <v>1529000</v>
      </c>
      <c r="J208" s="152">
        <v>1529000</v>
      </c>
      <c r="K208" s="152">
        <v>1529000</v>
      </c>
      <c r="L208" s="152">
        <v>1529000</v>
      </c>
      <c r="M208" s="150" t="s">
        <v>252</v>
      </c>
      <c r="N208" s="154">
        <v>1</v>
      </c>
      <c r="O208" s="156">
        <v>28</v>
      </c>
      <c r="P208" s="151" t="s">
        <v>253</v>
      </c>
      <c r="Q208" s="154">
        <v>0</v>
      </c>
      <c r="R208" s="156">
        <v>0</v>
      </c>
      <c r="S208" s="151" t="s">
        <v>83</v>
      </c>
      <c r="T208" s="150" t="s">
        <v>254</v>
      </c>
      <c r="U208" s="150" t="s">
        <v>363</v>
      </c>
      <c r="V208" s="151" t="s">
        <v>432</v>
      </c>
      <c r="W208" s="151"/>
      <c r="X208" s="159">
        <v>44775</v>
      </c>
      <c r="Y208" s="151">
        <v>2022</v>
      </c>
      <c r="Z208" s="151">
        <v>8</v>
      </c>
      <c r="AA208" s="151">
        <v>2</v>
      </c>
    </row>
    <row r="209" spans="1:27" x14ac:dyDescent="0.55000000000000004">
      <c r="A209" s="151">
        <v>234</v>
      </c>
      <c r="B209" s="150"/>
      <c r="C209" s="152">
        <v>13816000</v>
      </c>
      <c r="D209" s="152">
        <v>13816000</v>
      </c>
      <c r="E209" s="152">
        <v>13816000</v>
      </c>
      <c r="F209" s="152">
        <v>0</v>
      </c>
      <c r="G209" s="152">
        <v>13816000</v>
      </c>
      <c r="H209" s="152">
        <v>13816000</v>
      </c>
      <c r="I209" s="152">
        <v>13816000</v>
      </c>
      <c r="J209" s="152">
        <v>13816000</v>
      </c>
      <c r="K209" s="152">
        <v>13816000</v>
      </c>
      <c r="L209" s="152">
        <v>13816000</v>
      </c>
      <c r="M209" s="150" t="s">
        <v>269</v>
      </c>
      <c r="N209" s="154">
        <v>1</v>
      </c>
      <c r="O209" s="156">
        <v>60</v>
      </c>
      <c r="P209" s="151" t="s">
        <v>252</v>
      </c>
      <c r="Q209" s="154">
        <v>1</v>
      </c>
      <c r="R209" s="156">
        <v>60</v>
      </c>
      <c r="S209" s="151" t="s">
        <v>83</v>
      </c>
      <c r="T209" s="150" t="s">
        <v>266</v>
      </c>
      <c r="U209" s="150" t="s">
        <v>367</v>
      </c>
      <c r="V209" s="151" t="s">
        <v>432</v>
      </c>
      <c r="W209" s="151"/>
      <c r="X209" s="159">
        <v>44775</v>
      </c>
      <c r="Y209" s="151">
        <v>2022</v>
      </c>
      <c r="Z209" s="151">
        <v>8</v>
      </c>
      <c r="AA209" s="151">
        <v>2</v>
      </c>
    </row>
    <row r="210" spans="1:27" x14ac:dyDescent="0.55000000000000004">
      <c r="A210" s="151">
        <v>235</v>
      </c>
      <c r="B210" s="150"/>
      <c r="C210" s="152">
        <v>1471000</v>
      </c>
      <c r="D210" s="152">
        <v>1471000</v>
      </c>
      <c r="E210" s="152">
        <v>1471824</v>
      </c>
      <c r="F210" s="152">
        <v>0</v>
      </c>
      <c r="G210" s="152">
        <v>1471824</v>
      </c>
      <c r="H210" s="152">
        <v>1471824</v>
      </c>
      <c r="I210" s="152">
        <v>1471824</v>
      </c>
      <c r="J210" s="152">
        <v>1471824</v>
      </c>
      <c r="K210" s="152">
        <v>1471824</v>
      </c>
      <c r="L210" s="152">
        <v>1471000</v>
      </c>
      <c r="M210" s="150" t="s">
        <v>252</v>
      </c>
      <c r="N210" s="154">
        <v>1</v>
      </c>
      <c r="O210" s="156">
        <v>10</v>
      </c>
      <c r="P210" s="151" t="s">
        <v>253</v>
      </c>
      <c r="Q210" s="154">
        <v>0</v>
      </c>
      <c r="R210" s="156">
        <v>0</v>
      </c>
      <c r="S210" s="151" t="s">
        <v>83</v>
      </c>
      <c r="T210" s="150" t="s">
        <v>260</v>
      </c>
      <c r="U210" s="150" t="s">
        <v>295</v>
      </c>
      <c r="V210" s="151" t="s">
        <v>432</v>
      </c>
      <c r="W210" s="151"/>
      <c r="X210" s="159">
        <v>44775</v>
      </c>
      <c r="Y210" s="151">
        <v>2022</v>
      </c>
      <c r="Z210" s="151">
        <v>8</v>
      </c>
      <c r="AA210" s="151">
        <v>2</v>
      </c>
    </row>
    <row r="211" spans="1:27" x14ac:dyDescent="0.55000000000000004">
      <c r="A211" s="151">
        <v>236</v>
      </c>
      <c r="B211" s="150"/>
      <c r="C211" s="152">
        <v>11550000</v>
      </c>
      <c r="D211" s="152">
        <v>11550000</v>
      </c>
      <c r="E211" s="152">
        <v>11550000</v>
      </c>
      <c r="F211" s="152">
        <v>0</v>
      </c>
      <c r="G211" s="152">
        <v>11550000</v>
      </c>
      <c r="H211" s="152">
        <v>11550000</v>
      </c>
      <c r="I211" s="152">
        <v>11550000</v>
      </c>
      <c r="J211" s="152">
        <v>11550000</v>
      </c>
      <c r="K211" s="152">
        <v>11550000</v>
      </c>
      <c r="L211" s="152">
        <v>11550000</v>
      </c>
      <c r="M211" s="150" t="s">
        <v>280</v>
      </c>
      <c r="N211" s="154">
        <v>1</v>
      </c>
      <c r="O211" s="156">
        <v>130</v>
      </c>
      <c r="P211" s="151" t="s">
        <v>253</v>
      </c>
      <c r="Q211" s="154">
        <v>0</v>
      </c>
      <c r="R211" s="156">
        <v>0</v>
      </c>
      <c r="S211" s="151" t="s">
        <v>83</v>
      </c>
      <c r="T211" s="150" t="s">
        <v>283</v>
      </c>
      <c r="U211" s="150" t="s">
        <v>341</v>
      </c>
      <c r="V211" s="151" t="s">
        <v>432</v>
      </c>
      <c r="W211" s="151"/>
      <c r="X211" s="159">
        <v>44775</v>
      </c>
      <c r="Y211" s="151">
        <v>2022</v>
      </c>
      <c r="Z211" s="151">
        <v>8</v>
      </c>
      <c r="AA211" s="151">
        <v>2</v>
      </c>
    </row>
    <row r="212" spans="1:27" x14ac:dyDescent="0.55000000000000004">
      <c r="A212" s="151">
        <v>237</v>
      </c>
      <c r="B212" s="150"/>
      <c r="C212" s="152">
        <v>1606000</v>
      </c>
      <c r="D212" s="152">
        <v>1606000</v>
      </c>
      <c r="E212" s="152">
        <v>1606000</v>
      </c>
      <c r="F212" s="152">
        <v>0</v>
      </c>
      <c r="G212" s="152">
        <v>1606000</v>
      </c>
      <c r="H212" s="152">
        <v>1606000</v>
      </c>
      <c r="I212" s="152">
        <v>1606000</v>
      </c>
      <c r="J212" s="152">
        <v>1606000</v>
      </c>
      <c r="K212" s="152">
        <v>1606000</v>
      </c>
      <c r="L212" s="152">
        <v>1606000</v>
      </c>
      <c r="M212" s="150" t="s">
        <v>252</v>
      </c>
      <c r="N212" s="154">
        <v>1</v>
      </c>
      <c r="O212" s="156">
        <v>5</v>
      </c>
      <c r="P212" s="151" t="s">
        <v>253</v>
      </c>
      <c r="Q212" s="154">
        <v>0</v>
      </c>
      <c r="R212" s="156">
        <v>0</v>
      </c>
      <c r="S212" s="151" t="s">
        <v>83</v>
      </c>
      <c r="T212" s="150" t="s">
        <v>266</v>
      </c>
      <c r="U212" s="150" t="s">
        <v>392</v>
      </c>
      <c r="V212" s="151" t="s">
        <v>432</v>
      </c>
      <c r="W212" s="151"/>
      <c r="X212" s="159">
        <v>44775</v>
      </c>
      <c r="Y212" s="151">
        <v>2022</v>
      </c>
      <c r="Z212" s="151">
        <v>8</v>
      </c>
      <c r="AA212" s="151">
        <v>2</v>
      </c>
    </row>
    <row r="213" spans="1:27" x14ac:dyDescent="0.55000000000000004">
      <c r="A213" s="151">
        <v>238</v>
      </c>
      <c r="B213" s="150"/>
      <c r="C213" s="152">
        <v>5170000</v>
      </c>
      <c r="D213" s="152">
        <v>5170000</v>
      </c>
      <c r="E213" s="152">
        <v>5170000</v>
      </c>
      <c r="F213" s="152">
        <v>0</v>
      </c>
      <c r="G213" s="152">
        <v>5170000</v>
      </c>
      <c r="H213" s="152">
        <v>5170000</v>
      </c>
      <c r="I213" s="152">
        <v>5170000</v>
      </c>
      <c r="J213" s="152">
        <v>5170000</v>
      </c>
      <c r="K213" s="152">
        <v>5170000</v>
      </c>
      <c r="L213" s="152">
        <v>5170000</v>
      </c>
      <c r="M213" s="150" t="s">
        <v>269</v>
      </c>
      <c r="N213" s="154">
        <v>1</v>
      </c>
      <c r="O213" s="156">
        <v>24</v>
      </c>
      <c r="P213" s="151" t="s">
        <v>253</v>
      </c>
      <c r="Q213" s="154">
        <v>0</v>
      </c>
      <c r="R213" s="156">
        <v>0</v>
      </c>
      <c r="S213" s="151" t="s">
        <v>83</v>
      </c>
      <c r="T213" s="150" t="s">
        <v>321</v>
      </c>
      <c r="U213" s="150" t="s">
        <v>402</v>
      </c>
      <c r="V213" s="151" t="s">
        <v>432</v>
      </c>
      <c r="W213" s="151"/>
      <c r="X213" s="159">
        <v>44775</v>
      </c>
      <c r="Y213" s="151">
        <v>2022</v>
      </c>
      <c r="Z213" s="151">
        <v>8</v>
      </c>
      <c r="AA213" s="151">
        <v>2</v>
      </c>
    </row>
    <row r="214" spans="1:27" x14ac:dyDescent="0.55000000000000004">
      <c r="A214" s="151">
        <v>239</v>
      </c>
      <c r="B214" s="150"/>
      <c r="C214" s="152">
        <v>440000</v>
      </c>
      <c r="D214" s="152">
        <v>440000</v>
      </c>
      <c r="E214" s="152">
        <v>440000</v>
      </c>
      <c r="F214" s="152">
        <v>0</v>
      </c>
      <c r="G214" s="152">
        <v>440000</v>
      </c>
      <c r="H214" s="152">
        <v>440000</v>
      </c>
      <c r="I214" s="152">
        <v>440000</v>
      </c>
      <c r="J214" s="152">
        <v>440000</v>
      </c>
      <c r="K214" s="152">
        <v>440000</v>
      </c>
      <c r="L214" s="152">
        <v>440000</v>
      </c>
      <c r="M214" s="150" t="s">
        <v>269</v>
      </c>
      <c r="N214" s="154">
        <v>1</v>
      </c>
      <c r="O214" s="156">
        <v>6</v>
      </c>
      <c r="P214" s="151" t="s">
        <v>253</v>
      </c>
      <c r="Q214" s="154">
        <v>0</v>
      </c>
      <c r="R214" s="156">
        <v>0</v>
      </c>
      <c r="S214" s="151" t="s">
        <v>83</v>
      </c>
      <c r="T214" s="150" t="s">
        <v>276</v>
      </c>
      <c r="U214" s="150" t="s">
        <v>265</v>
      </c>
      <c r="V214" s="151" t="s">
        <v>432</v>
      </c>
      <c r="W214" s="151"/>
      <c r="X214" s="159">
        <v>44775</v>
      </c>
      <c r="Y214" s="151">
        <v>2022</v>
      </c>
      <c r="Z214" s="151">
        <v>8</v>
      </c>
      <c r="AA214" s="151">
        <v>2</v>
      </c>
    </row>
    <row r="215" spans="1:27" x14ac:dyDescent="0.55000000000000004">
      <c r="A215" s="151">
        <v>240</v>
      </c>
      <c r="B215" s="150"/>
      <c r="C215" s="152">
        <v>1465000</v>
      </c>
      <c r="D215" s="152">
        <v>1465000</v>
      </c>
      <c r="E215" s="152">
        <v>1465000</v>
      </c>
      <c r="F215" s="152">
        <v>0</v>
      </c>
      <c r="G215" s="152">
        <v>1465000</v>
      </c>
      <c r="H215" s="152">
        <v>1465000</v>
      </c>
      <c r="I215" s="152">
        <v>1465000</v>
      </c>
      <c r="J215" s="152">
        <v>1465000</v>
      </c>
      <c r="K215" s="152">
        <v>1465000</v>
      </c>
      <c r="L215" s="152">
        <v>1465000</v>
      </c>
      <c r="M215" s="150" t="s">
        <v>252</v>
      </c>
      <c r="N215" s="154">
        <v>1</v>
      </c>
      <c r="O215" s="156">
        <v>10</v>
      </c>
      <c r="P215" s="151" t="s">
        <v>253</v>
      </c>
      <c r="Q215" s="154">
        <v>0</v>
      </c>
      <c r="R215" s="156">
        <v>0</v>
      </c>
      <c r="S215" s="151" t="s">
        <v>83</v>
      </c>
      <c r="T215" s="150" t="s">
        <v>254</v>
      </c>
      <c r="U215" s="150" t="s">
        <v>403</v>
      </c>
      <c r="V215" s="151" t="s">
        <v>432</v>
      </c>
      <c r="W215" s="151"/>
      <c r="X215" s="159">
        <v>44775</v>
      </c>
      <c r="Y215" s="151">
        <v>2022</v>
      </c>
      <c r="Z215" s="151">
        <v>8</v>
      </c>
      <c r="AA215" s="151">
        <v>2</v>
      </c>
    </row>
    <row r="216" spans="1:27" x14ac:dyDescent="0.55000000000000004">
      <c r="A216" s="151">
        <v>241</v>
      </c>
      <c r="B216" s="150"/>
      <c r="C216" s="152">
        <v>1540000</v>
      </c>
      <c r="D216" s="152">
        <v>1540000</v>
      </c>
      <c r="E216" s="152">
        <v>1540000</v>
      </c>
      <c r="F216" s="152">
        <v>0</v>
      </c>
      <c r="G216" s="152">
        <v>1540000</v>
      </c>
      <c r="H216" s="152">
        <v>1540000</v>
      </c>
      <c r="I216" s="152">
        <v>1540000</v>
      </c>
      <c r="J216" s="152">
        <v>1540000</v>
      </c>
      <c r="K216" s="152">
        <v>1540000</v>
      </c>
      <c r="L216" s="152">
        <v>1540000</v>
      </c>
      <c r="M216" s="150" t="s">
        <v>252</v>
      </c>
      <c r="N216" s="154">
        <v>1</v>
      </c>
      <c r="O216" s="156">
        <v>6</v>
      </c>
      <c r="P216" s="151" t="s">
        <v>253</v>
      </c>
      <c r="Q216" s="154">
        <v>0</v>
      </c>
      <c r="R216" s="156">
        <v>0</v>
      </c>
      <c r="S216" s="151" t="s">
        <v>83</v>
      </c>
      <c r="T216" s="150" t="s">
        <v>283</v>
      </c>
      <c r="U216" s="150" t="s">
        <v>404</v>
      </c>
      <c r="V216" s="151" t="s">
        <v>432</v>
      </c>
      <c r="W216" s="151"/>
      <c r="X216" s="159">
        <v>44775</v>
      </c>
      <c r="Y216" s="151">
        <v>2022</v>
      </c>
      <c r="Z216" s="151">
        <v>8</v>
      </c>
      <c r="AA216" s="151">
        <v>2</v>
      </c>
    </row>
    <row r="217" spans="1:27" x14ac:dyDescent="0.55000000000000004">
      <c r="A217" s="151">
        <v>242</v>
      </c>
      <c r="B217" s="150"/>
      <c r="C217" s="152">
        <v>1364000</v>
      </c>
      <c r="D217" s="152">
        <v>1364000</v>
      </c>
      <c r="E217" s="152">
        <v>1364000</v>
      </c>
      <c r="F217" s="152">
        <v>0</v>
      </c>
      <c r="G217" s="152">
        <v>1364000</v>
      </c>
      <c r="H217" s="152">
        <v>1364000</v>
      </c>
      <c r="I217" s="152">
        <v>1364000</v>
      </c>
      <c r="J217" s="152">
        <v>1364000</v>
      </c>
      <c r="K217" s="152">
        <v>1364000</v>
      </c>
      <c r="L217" s="152">
        <v>1364000</v>
      </c>
      <c r="M217" s="150" t="s">
        <v>269</v>
      </c>
      <c r="N217" s="154">
        <v>1</v>
      </c>
      <c r="O217" s="156">
        <v>10</v>
      </c>
      <c r="P217" s="151" t="s">
        <v>253</v>
      </c>
      <c r="Q217" s="154">
        <v>0</v>
      </c>
      <c r="R217" s="156">
        <v>0</v>
      </c>
      <c r="S217" s="151" t="s">
        <v>83</v>
      </c>
      <c r="T217" s="150" t="s">
        <v>278</v>
      </c>
      <c r="U217" s="150" t="s">
        <v>302</v>
      </c>
      <c r="V217" s="151" t="s">
        <v>432</v>
      </c>
      <c r="W217" s="151"/>
      <c r="X217" s="159">
        <v>44775</v>
      </c>
      <c r="Y217" s="151">
        <v>2022</v>
      </c>
      <c r="Z217" s="151">
        <v>8</v>
      </c>
      <c r="AA217" s="151">
        <v>2</v>
      </c>
    </row>
    <row r="218" spans="1:27" x14ac:dyDescent="0.55000000000000004">
      <c r="A218" s="151">
        <v>243</v>
      </c>
      <c r="B218" s="150"/>
      <c r="C218" s="152">
        <v>1468000</v>
      </c>
      <c r="D218" s="152">
        <v>1468000</v>
      </c>
      <c r="E218" s="152">
        <v>1468500</v>
      </c>
      <c r="F218" s="152">
        <v>0</v>
      </c>
      <c r="G218" s="152">
        <v>1468500</v>
      </c>
      <c r="H218" s="152">
        <v>1468500</v>
      </c>
      <c r="I218" s="152">
        <v>1468500</v>
      </c>
      <c r="J218" s="152">
        <v>1468500</v>
      </c>
      <c r="K218" s="152">
        <v>1468500</v>
      </c>
      <c r="L218" s="152">
        <v>1468000</v>
      </c>
      <c r="M218" s="150" t="s">
        <v>252</v>
      </c>
      <c r="N218" s="154">
        <v>1</v>
      </c>
      <c r="O218" s="156">
        <v>6</v>
      </c>
      <c r="P218" s="151" t="s">
        <v>253</v>
      </c>
      <c r="Q218" s="154">
        <v>0</v>
      </c>
      <c r="R218" s="156">
        <v>0</v>
      </c>
      <c r="S218" s="151" t="s">
        <v>83</v>
      </c>
      <c r="T218" s="150" t="s">
        <v>276</v>
      </c>
      <c r="U218" s="150" t="s">
        <v>405</v>
      </c>
      <c r="V218" s="151" t="s">
        <v>432</v>
      </c>
      <c r="W218" s="151"/>
      <c r="X218" s="159">
        <v>44775</v>
      </c>
      <c r="Y218" s="151">
        <v>2022</v>
      </c>
      <c r="Z218" s="151">
        <v>8</v>
      </c>
      <c r="AA218" s="151">
        <v>2</v>
      </c>
    </row>
    <row r="219" spans="1:27" x14ac:dyDescent="0.55000000000000004">
      <c r="A219" s="151">
        <v>245</v>
      </c>
      <c r="B219" s="150"/>
      <c r="C219" s="152">
        <v>396000</v>
      </c>
      <c r="D219" s="152">
        <v>396000</v>
      </c>
      <c r="E219" s="152">
        <v>396000</v>
      </c>
      <c r="F219" s="152">
        <v>0</v>
      </c>
      <c r="G219" s="152">
        <v>396000</v>
      </c>
      <c r="H219" s="152">
        <v>396000</v>
      </c>
      <c r="I219" s="152">
        <v>396000</v>
      </c>
      <c r="J219" s="152">
        <v>396000</v>
      </c>
      <c r="K219" s="152">
        <v>396000</v>
      </c>
      <c r="L219" s="152">
        <v>396000</v>
      </c>
      <c r="M219" s="150" t="s">
        <v>269</v>
      </c>
      <c r="N219" s="154">
        <v>1</v>
      </c>
      <c r="O219" s="156">
        <v>5</v>
      </c>
      <c r="P219" s="151" t="s">
        <v>253</v>
      </c>
      <c r="Q219" s="154">
        <v>0</v>
      </c>
      <c r="R219" s="156">
        <v>0</v>
      </c>
      <c r="S219" s="151" t="s">
        <v>83</v>
      </c>
      <c r="T219" s="150" t="s">
        <v>274</v>
      </c>
      <c r="U219" s="150" t="s">
        <v>369</v>
      </c>
      <c r="V219" s="151" t="s">
        <v>432</v>
      </c>
      <c r="W219" s="151"/>
      <c r="X219" s="159">
        <v>44775</v>
      </c>
      <c r="Y219" s="151">
        <v>2022</v>
      </c>
      <c r="Z219" s="151">
        <v>8</v>
      </c>
      <c r="AA219" s="151">
        <v>2</v>
      </c>
    </row>
    <row r="220" spans="1:27" x14ac:dyDescent="0.55000000000000004">
      <c r="A220" s="151">
        <v>246</v>
      </c>
      <c r="B220" s="150"/>
      <c r="C220" s="152">
        <v>1461000</v>
      </c>
      <c r="D220" s="152">
        <v>1461000</v>
      </c>
      <c r="E220" s="152">
        <v>1461680</v>
      </c>
      <c r="F220" s="152">
        <v>0</v>
      </c>
      <c r="G220" s="152">
        <v>1461680</v>
      </c>
      <c r="H220" s="152">
        <v>1461680</v>
      </c>
      <c r="I220" s="152">
        <v>1461680</v>
      </c>
      <c r="J220" s="152">
        <v>1461680</v>
      </c>
      <c r="K220" s="152">
        <v>1461680</v>
      </c>
      <c r="L220" s="152">
        <v>1461000</v>
      </c>
      <c r="M220" s="150" t="s">
        <v>252</v>
      </c>
      <c r="N220" s="154">
        <v>1</v>
      </c>
      <c r="O220" s="156">
        <v>2</v>
      </c>
      <c r="P220" s="151" t="s">
        <v>253</v>
      </c>
      <c r="Q220" s="154">
        <v>0</v>
      </c>
      <c r="R220" s="156">
        <v>0</v>
      </c>
      <c r="S220" s="151" t="s">
        <v>83</v>
      </c>
      <c r="T220" s="150" t="s">
        <v>266</v>
      </c>
      <c r="U220" s="150" t="s">
        <v>344</v>
      </c>
      <c r="V220" s="151" t="s">
        <v>432</v>
      </c>
      <c r="W220" s="151"/>
      <c r="X220" s="159">
        <v>44775</v>
      </c>
      <c r="Y220" s="151">
        <v>2022</v>
      </c>
      <c r="Z220" s="151">
        <v>8</v>
      </c>
      <c r="AA220" s="151">
        <v>2</v>
      </c>
    </row>
    <row r="221" spans="1:27" x14ac:dyDescent="0.55000000000000004">
      <c r="A221" s="151">
        <v>247</v>
      </c>
      <c r="B221" s="150"/>
      <c r="C221" s="152">
        <v>1161000</v>
      </c>
      <c r="D221" s="152">
        <v>1161000</v>
      </c>
      <c r="E221" s="152">
        <v>1161270</v>
      </c>
      <c r="F221" s="152">
        <v>0</v>
      </c>
      <c r="G221" s="152">
        <v>1161270</v>
      </c>
      <c r="H221" s="152">
        <v>1161270</v>
      </c>
      <c r="I221" s="152">
        <v>1161270</v>
      </c>
      <c r="J221" s="152">
        <v>1161270</v>
      </c>
      <c r="K221" s="152">
        <v>1161270</v>
      </c>
      <c r="L221" s="152">
        <v>1161000</v>
      </c>
      <c r="M221" s="150" t="s">
        <v>252</v>
      </c>
      <c r="N221" s="154">
        <v>1</v>
      </c>
      <c r="O221" s="156">
        <v>15</v>
      </c>
      <c r="P221" s="151" t="s">
        <v>253</v>
      </c>
      <c r="Q221" s="154">
        <v>0</v>
      </c>
      <c r="R221" s="156">
        <v>0</v>
      </c>
      <c r="S221" s="151" t="s">
        <v>83</v>
      </c>
      <c r="T221" s="150" t="s">
        <v>264</v>
      </c>
      <c r="U221" s="150" t="s">
        <v>406</v>
      </c>
      <c r="V221" s="151" t="s">
        <v>432</v>
      </c>
      <c r="W221" s="151"/>
      <c r="X221" s="159">
        <v>44775</v>
      </c>
      <c r="Y221" s="151">
        <v>2022</v>
      </c>
      <c r="Z221" s="151">
        <v>8</v>
      </c>
      <c r="AA221" s="151">
        <v>2</v>
      </c>
    </row>
    <row r="222" spans="1:27" x14ac:dyDescent="0.55000000000000004">
      <c r="A222" s="151">
        <v>248</v>
      </c>
      <c r="B222" s="150"/>
      <c r="C222" s="152">
        <v>1617000</v>
      </c>
      <c r="D222" s="152">
        <v>1617000</v>
      </c>
      <c r="E222" s="152">
        <v>1617000</v>
      </c>
      <c r="F222" s="152">
        <v>0</v>
      </c>
      <c r="G222" s="152">
        <v>1617000</v>
      </c>
      <c r="H222" s="152">
        <v>1617000</v>
      </c>
      <c r="I222" s="152">
        <v>1617000</v>
      </c>
      <c r="J222" s="152">
        <v>1617000</v>
      </c>
      <c r="K222" s="152">
        <v>1617000</v>
      </c>
      <c r="L222" s="152">
        <v>1617000</v>
      </c>
      <c r="M222" s="150" t="s">
        <v>252</v>
      </c>
      <c r="N222" s="154">
        <v>1</v>
      </c>
      <c r="O222" s="156">
        <v>12</v>
      </c>
      <c r="P222" s="151" t="s">
        <v>253</v>
      </c>
      <c r="Q222" s="154">
        <v>0</v>
      </c>
      <c r="R222" s="156">
        <v>0</v>
      </c>
      <c r="S222" s="151" t="s">
        <v>83</v>
      </c>
      <c r="T222" s="150" t="s">
        <v>254</v>
      </c>
      <c r="U222" s="150" t="s">
        <v>290</v>
      </c>
      <c r="V222" s="151" t="s">
        <v>432</v>
      </c>
      <c r="W222" s="151"/>
      <c r="X222" s="159">
        <v>44775</v>
      </c>
      <c r="Y222" s="151">
        <v>2022</v>
      </c>
      <c r="Z222" s="151">
        <v>8</v>
      </c>
      <c r="AA222" s="151">
        <v>2</v>
      </c>
    </row>
    <row r="223" spans="1:27" x14ac:dyDescent="0.55000000000000004">
      <c r="A223" s="151">
        <v>249</v>
      </c>
      <c r="B223" s="150"/>
      <c r="C223" s="152">
        <v>1540000</v>
      </c>
      <c r="D223" s="152">
        <v>1540000</v>
      </c>
      <c r="E223" s="152">
        <v>1540000</v>
      </c>
      <c r="F223" s="152">
        <v>0</v>
      </c>
      <c r="G223" s="152">
        <v>1540000</v>
      </c>
      <c r="H223" s="152">
        <v>1540000</v>
      </c>
      <c r="I223" s="152">
        <v>1540000</v>
      </c>
      <c r="J223" s="152">
        <v>1540000</v>
      </c>
      <c r="K223" s="152">
        <v>1540000</v>
      </c>
      <c r="L223" s="152">
        <v>1540000</v>
      </c>
      <c r="M223" s="150" t="s">
        <v>252</v>
      </c>
      <c r="N223" s="154">
        <v>1</v>
      </c>
      <c r="O223" s="156">
        <v>15</v>
      </c>
      <c r="P223" s="151" t="s">
        <v>253</v>
      </c>
      <c r="Q223" s="154">
        <v>0</v>
      </c>
      <c r="R223" s="156">
        <v>0</v>
      </c>
      <c r="S223" s="151" t="s">
        <v>83</v>
      </c>
      <c r="T223" s="150" t="s">
        <v>264</v>
      </c>
      <c r="U223" s="150" t="s">
        <v>308</v>
      </c>
      <c r="V223" s="151" t="s">
        <v>432</v>
      </c>
      <c r="W223" s="151"/>
      <c r="X223" s="159">
        <v>44775</v>
      </c>
      <c r="Y223" s="151">
        <v>2022</v>
      </c>
      <c r="Z223" s="151">
        <v>8</v>
      </c>
      <c r="AA223" s="151">
        <v>2</v>
      </c>
    </row>
    <row r="224" spans="1:27" x14ac:dyDescent="0.55000000000000004">
      <c r="A224" s="151">
        <v>250</v>
      </c>
      <c r="B224" s="150"/>
      <c r="C224" s="152">
        <v>1463000</v>
      </c>
      <c r="D224" s="152">
        <v>1463000</v>
      </c>
      <c r="E224" s="152">
        <v>1463000</v>
      </c>
      <c r="F224" s="152">
        <v>0</v>
      </c>
      <c r="G224" s="152">
        <v>1463000</v>
      </c>
      <c r="H224" s="152">
        <v>1463000</v>
      </c>
      <c r="I224" s="152">
        <v>1463000</v>
      </c>
      <c r="J224" s="152">
        <v>1463000</v>
      </c>
      <c r="K224" s="152">
        <v>1463000</v>
      </c>
      <c r="L224" s="152">
        <v>1463000</v>
      </c>
      <c r="M224" s="150" t="s">
        <v>252</v>
      </c>
      <c r="N224" s="154">
        <v>1</v>
      </c>
      <c r="O224" s="156">
        <v>10</v>
      </c>
      <c r="P224" s="151" t="s">
        <v>253</v>
      </c>
      <c r="Q224" s="154">
        <v>0</v>
      </c>
      <c r="R224" s="156">
        <v>0</v>
      </c>
      <c r="S224" s="151" t="s">
        <v>83</v>
      </c>
      <c r="T224" s="150" t="s">
        <v>276</v>
      </c>
      <c r="U224" s="150" t="s">
        <v>279</v>
      </c>
      <c r="V224" s="151" t="s">
        <v>432</v>
      </c>
      <c r="W224" s="151"/>
      <c r="X224" s="159">
        <v>44775</v>
      </c>
      <c r="Y224" s="151">
        <v>2022</v>
      </c>
      <c r="Z224" s="151">
        <v>8</v>
      </c>
      <c r="AA224" s="151">
        <v>2</v>
      </c>
    </row>
    <row r="225" spans="1:27" x14ac:dyDescent="0.55000000000000004">
      <c r="A225" s="151">
        <v>251</v>
      </c>
      <c r="B225" s="150"/>
      <c r="C225" s="152">
        <v>1606000</v>
      </c>
      <c r="D225" s="152">
        <v>1606000</v>
      </c>
      <c r="E225" s="152">
        <v>1606000</v>
      </c>
      <c r="F225" s="152">
        <v>0</v>
      </c>
      <c r="G225" s="152">
        <v>1606000</v>
      </c>
      <c r="H225" s="152">
        <v>1606000</v>
      </c>
      <c r="I225" s="152">
        <v>1606000</v>
      </c>
      <c r="J225" s="152">
        <v>1606000</v>
      </c>
      <c r="K225" s="152">
        <v>1606000</v>
      </c>
      <c r="L225" s="152">
        <v>1606000</v>
      </c>
      <c r="M225" s="150" t="s">
        <v>252</v>
      </c>
      <c r="N225" s="154">
        <v>1</v>
      </c>
      <c r="O225" s="156">
        <v>24</v>
      </c>
      <c r="P225" s="151" t="s">
        <v>253</v>
      </c>
      <c r="Q225" s="154">
        <v>0</v>
      </c>
      <c r="R225" s="156">
        <v>0</v>
      </c>
      <c r="S225" s="151" t="s">
        <v>83</v>
      </c>
      <c r="T225" s="150" t="s">
        <v>407</v>
      </c>
      <c r="U225" s="150" t="s">
        <v>392</v>
      </c>
      <c r="V225" s="151" t="s">
        <v>432</v>
      </c>
      <c r="W225" s="151"/>
      <c r="X225" s="159">
        <v>44771</v>
      </c>
      <c r="Y225" s="151">
        <v>2022</v>
      </c>
      <c r="Z225" s="151">
        <v>7</v>
      </c>
      <c r="AA225" s="151">
        <v>29</v>
      </c>
    </row>
    <row r="226" spans="1:27" x14ac:dyDescent="0.55000000000000004">
      <c r="A226" s="151">
        <v>252</v>
      </c>
      <c r="B226" s="150"/>
      <c r="C226" s="152">
        <v>1463000</v>
      </c>
      <c r="D226" s="152">
        <v>1463000</v>
      </c>
      <c r="E226" s="152">
        <v>1463688</v>
      </c>
      <c r="F226" s="152">
        <v>0</v>
      </c>
      <c r="G226" s="152">
        <v>1463688</v>
      </c>
      <c r="H226" s="152">
        <v>1463688</v>
      </c>
      <c r="I226" s="152">
        <v>1463688</v>
      </c>
      <c r="J226" s="152">
        <v>1463688</v>
      </c>
      <c r="K226" s="152">
        <v>1463688</v>
      </c>
      <c r="L226" s="152">
        <v>1463000</v>
      </c>
      <c r="M226" s="150" t="s">
        <v>252</v>
      </c>
      <c r="N226" s="154">
        <v>1</v>
      </c>
      <c r="O226" s="156">
        <v>20</v>
      </c>
      <c r="P226" s="151" t="s">
        <v>253</v>
      </c>
      <c r="Q226" s="154">
        <v>0</v>
      </c>
      <c r="R226" s="156">
        <v>0</v>
      </c>
      <c r="S226" s="151" t="s">
        <v>83</v>
      </c>
      <c r="T226" s="150" t="s">
        <v>254</v>
      </c>
      <c r="U226" s="150" t="s">
        <v>346</v>
      </c>
      <c r="V226" s="151" t="s">
        <v>432</v>
      </c>
      <c r="W226" s="151"/>
      <c r="X226" s="159">
        <v>44771</v>
      </c>
      <c r="Y226" s="151">
        <v>2022</v>
      </c>
      <c r="Z226" s="151">
        <v>7</v>
      </c>
      <c r="AA226" s="151">
        <v>29</v>
      </c>
    </row>
    <row r="227" spans="1:27" x14ac:dyDescent="0.55000000000000004">
      <c r="A227" s="151">
        <v>253</v>
      </c>
      <c r="B227" s="150"/>
      <c r="C227" s="152">
        <v>1463000</v>
      </c>
      <c r="D227" s="152">
        <v>1463000</v>
      </c>
      <c r="E227" s="152">
        <v>1463687</v>
      </c>
      <c r="F227" s="152">
        <v>0</v>
      </c>
      <c r="G227" s="152">
        <v>1463687</v>
      </c>
      <c r="H227" s="152">
        <v>1463687</v>
      </c>
      <c r="I227" s="152">
        <v>1463687</v>
      </c>
      <c r="J227" s="152">
        <v>1463687</v>
      </c>
      <c r="K227" s="152">
        <v>1463687</v>
      </c>
      <c r="L227" s="152">
        <v>1463000</v>
      </c>
      <c r="M227" s="150" t="s">
        <v>252</v>
      </c>
      <c r="N227" s="154">
        <v>1</v>
      </c>
      <c r="O227" s="156">
        <v>12</v>
      </c>
      <c r="P227" s="151" t="s">
        <v>253</v>
      </c>
      <c r="Q227" s="154">
        <v>0</v>
      </c>
      <c r="R227" s="156">
        <v>0</v>
      </c>
      <c r="S227" s="151" t="s">
        <v>83</v>
      </c>
      <c r="T227" s="150" t="s">
        <v>274</v>
      </c>
      <c r="U227" s="150" t="s">
        <v>390</v>
      </c>
      <c r="V227" s="151" t="s">
        <v>432</v>
      </c>
      <c r="W227" s="151"/>
      <c r="X227" s="159">
        <v>44771</v>
      </c>
      <c r="Y227" s="151">
        <v>2022</v>
      </c>
      <c r="Z227" s="151">
        <v>7</v>
      </c>
      <c r="AA227" s="151">
        <v>29</v>
      </c>
    </row>
    <row r="228" spans="1:27" x14ac:dyDescent="0.55000000000000004">
      <c r="A228" s="151">
        <v>254</v>
      </c>
      <c r="B228" s="150"/>
      <c r="C228" s="152">
        <v>1540000</v>
      </c>
      <c r="D228" s="152">
        <v>1540000</v>
      </c>
      <c r="E228" s="152">
        <v>1540000</v>
      </c>
      <c r="F228" s="152">
        <v>0</v>
      </c>
      <c r="G228" s="152">
        <v>1540000</v>
      </c>
      <c r="H228" s="152">
        <v>1540000</v>
      </c>
      <c r="I228" s="152">
        <v>1540000</v>
      </c>
      <c r="J228" s="152">
        <v>1540000</v>
      </c>
      <c r="K228" s="152">
        <v>1540000</v>
      </c>
      <c r="L228" s="152">
        <v>1540000</v>
      </c>
      <c r="M228" s="150" t="s">
        <v>269</v>
      </c>
      <c r="N228" s="154">
        <v>1</v>
      </c>
      <c r="O228" s="156">
        <v>12</v>
      </c>
      <c r="P228" s="151" t="s">
        <v>253</v>
      </c>
      <c r="Q228" s="154">
        <v>0</v>
      </c>
      <c r="R228" s="156">
        <v>0</v>
      </c>
      <c r="S228" s="151" t="s">
        <v>83</v>
      </c>
      <c r="T228" s="150" t="s">
        <v>266</v>
      </c>
      <c r="U228" s="150" t="s">
        <v>367</v>
      </c>
      <c r="V228" s="151" t="s">
        <v>432</v>
      </c>
      <c r="W228" s="151"/>
      <c r="X228" s="159">
        <v>44771</v>
      </c>
      <c r="Y228" s="151">
        <v>2022</v>
      </c>
      <c r="Z228" s="151">
        <v>7</v>
      </c>
      <c r="AA228" s="151">
        <v>29</v>
      </c>
    </row>
    <row r="229" spans="1:27" x14ac:dyDescent="0.55000000000000004">
      <c r="A229" s="151">
        <v>255</v>
      </c>
      <c r="B229" s="150"/>
      <c r="C229" s="152">
        <v>1509000</v>
      </c>
      <c r="D229" s="152">
        <v>1509000</v>
      </c>
      <c r="E229" s="152">
        <v>1509120</v>
      </c>
      <c r="F229" s="152">
        <v>0</v>
      </c>
      <c r="G229" s="152">
        <v>1509120</v>
      </c>
      <c r="H229" s="152">
        <v>1509120</v>
      </c>
      <c r="I229" s="152">
        <v>1509120</v>
      </c>
      <c r="J229" s="152">
        <v>1509120</v>
      </c>
      <c r="K229" s="152">
        <v>1509120</v>
      </c>
      <c r="L229" s="152">
        <v>1509000</v>
      </c>
      <c r="M229" s="150" t="s">
        <v>269</v>
      </c>
      <c r="N229" s="154">
        <v>1</v>
      </c>
      <c r="O229" s="156">
        <v>5</v>
      </c>
      <c r="P229" s="151" t="s">
        <v>253</v>
      </c>
      <c r="Q229" s="154">
        <v>0</v>
      </c>
      <c r="R229" s="156">
        <v>0</v>
      </c>
      <c r="S229" s="151" t="s">
        <v>83</v>
      </c>
      <c r="T229" s="150" t="s">
        <v>266</v>
      </c>
      <c r="U229" s="150" t="s">
        <v>275</v>
      </c>
      <c r="V229" s="151" t="s">
        <v>432</v>
      </c>
      <c r="W229" s="151"/>
      <c r="X229" s="159">
        <v>44771</v>
      </c>
      <c r="Y229" s="151">
        <v>2022</v>
      </c>
      <c r="Z229" s="151">
        <v>7</v>
      </c>
      <c r="AA229" s="151">
        <v>29</v>
      </c>
    </row>
    <row r="230" spans="1:27" x14ac:dyDescent="0.55000000000000004">
      <c r="A230" s="151">
        <v>256</v>
      </c>
      <c r="B230" s="150"/>
      <c r="C230" s="152">
        <v>1386000</v>
      </c>
      <c r="D230" s="152">
        <v>1386000</v>
      </c>
      <c r="E230" s="152">
        <v>1386000</v>
      </c>
      <c r="F230" s="152">
        <v>0</v>
      </c>
      <c r="G230" s="152">
        <v>1386000</v>
      </c>
      <c r="H230" s="152">
        <v>1386000</v>
      </c>
      <c r="I230" s="152">
        <v>1386000</v>
      </c>
      <c r="J230" s="152">
        <v>1386000</v>
      </c>
      <c r="K230" s="152">
        <v>1386000</v>
      </c>
      <c r="L230" s="152">
        <v>1386000</v>
      </c>
      <c r="M230" s="150" t="s">
        <v>252</v>
      </c>
      <c r="N230" s="154">
        <v>1</v>
      </c>
      <c r="O230" s="156">
        <v>10</v>
      </c>
      <c r="P230" s="151" t="s">
        <v>253</v>
      </c>
      <c r="Q230" s="154">
        <v>0</v>
      </c>
      <c r="R230" s="156">
        <v>0</v>
      </c>
      <c r="S230" s="151" t="s">
        <v>83</v>
      </c>
      <c r="T230" s="150" t="s">
        <v>260</v>
      </c>
      <c r="U230" s="150" t="s">
        <v>408</v>
      </c>
      <c r="V230" s="151" t="s">
        <v>432</v>
      </c>
      <c r="W230" s="151"/>
      <c r="X230" s="159">
        <v>44771</v>
      </c>
      <c r="Y230" s="151">
        <v>2022</v>
      </c>
      <c r="Z230" s="151">
        <v>7</v>
      </c>
      <c r="AA230" s="151">
        <v>29</v>
      </c>
    </row>
    <row r="231" spans="1:27" x14ac:dyDescent="0.55000000000000004">
      <c r="A231" s="151">
        <v>257</v>
      </c>
      <c r="B231" s="150"/>
      <c r="C231" s="152">
        <v>1463000</v>
      </c>
      <c r="D231" s="152">
        <v>1463000</v>
      </c>
      <c r="E231" s="152">
        <v>1463680</v>
      </c>
      <c r="F231" s="152">
        <v>0</v>
      </c>
      <c r="G231" s="152">
        <v>1463680</v>
      </c>
      <c r="H231" s="152">
        <v>1463680</v>
      </c>
      <c r="I231" s="152">
        <v>1463680</v>
      </c>
      <c r="J231" s="152">
        <v>1463680</v>
      </c>
      <c r="K231" s="152">
        <v>1463680</v>
      </c>
      <c r="L231" s="152">
        <v>1463000</v>
      </c>
      <c r="M231" s="150" t="s">
        <v>269</v>
      </c>
      <c r="N231" s="154">
        <v>1</v>
      </c>
      <c r="O231" s="156">
        <v>20</v>
      </c>
      <c r="P231" s="151" t="s">
        <v>253</v>
      </c>
      <c r="Q231" s="154">
        <v>0</v>
      </c>
      <c r="R231" s="156">
        <v>0</v>
      </c>
      <c r="S231" s="151" t="s">
        <v>83</v>
      </c>
      <c r="T231" s="150" t="s">
        <v>256</v>
      </c>
      <c r="U231" s="150" t="s">
        <v>367</v>
      </c>
      <c r="V231" s="151" t="s">
        <v>432</v>
      </c>
      <c r="W231" s="151"/>
      <c r="X231" s="159">
        <v>44771</v>
      </c>
      <c r="Y231" s="151">
        <v>2022</v>
      </c>
      <c r="Z231" s="151">
        <v>7</v>
      </c>
      <c r="AA231" s="151">
        <v>29</v>
      </c>
    </row>
    <row r="232" spans="1:27" x14ac:dyDescent="0.55000000000000004">
      <c r="A232" s="151">
        <v>258</v>
      </c>
      <c r="B232" s="150"/>
      <c r="C232" s="152">
        <v>1578000</v>
      </c>
      <c r="D232" s="152">
        <v>1578000</v>
      </c>
      <c r="E232" s="152">
        <v>1578500</v>
      </c>
      <c r="F232" s="152">
        <v>0</v>
      </c>
      <c r="G232" s="152">
        <v>1578500</v>
      </c>
      <c r="H232" s="152">
        <v>1578500</v>
      </c>
      <c r="I232" s="152">
        <v>1578500</v>
      </c>
      <c r="J232" s="152">
        <v>1578500</v>
      </c>
      <c r="K232" s="152">
        <v>1578500</v>
      </c>
      <c r="L232" s="152">
        <v>1578000</v>
      </c>
      <c r="M232" s="150" t="s">
        <v>252</v>
      </c>
      <c r="N232" s="154">
        <v>1</v>
      </c>
      <c r="O232" s="156">
        <v>10</v>
      </c>
      <c r="P232" s="151" t="s">
        <v>253</v>
      </c>
      <c r="Q232" s="154">
        <v>0</v>
      </c>
      <c r="R232" s="156">
        <v>0</v>
      </c>
      <c r="S232" s="151" t="s">
        <v>83</v>
      </c>
      <c r="T232" s="150" t="s">
        <v>409</v>
      </c>
      <c r="U232" s="150" t="s">
        <v>410</v>
      </c>
      <c r="V232" s="151" t="s">
        <v>432</v>
      </c>
      <c r="W232" s="151"/>
      <c r="X232" s="159">
        <v>44771</v>
      </c>
      <c r="Y232" s="151">
        <v>2022</v>
      </c>
      <c r="Z232" s="151">
        <v>7</v>
      </c>
      <c r="AA232" s="151">
        <v>29</v>
      </c>
    </row>
    <row r="233" spans="1:27" x14ac:dyDescent="0.55000000000000004">
      <c r="A233" s="151">
        <v>259</v>
      </c>
      <c r="B233" s="150"/>
      <c r="C233" s="152">
        <v>4400000</v>
      </c>
      <c r="D233" s="152">
        <v>4400000</v>
      </c>
      <c r="E233" s="152">
        <v>4400000</v>
      </c>
      <c r="F233" s="152">
        <v>0</v>
      </c>
      <c r="G233" s="152">
        <v>4400000</v>
      </c>
      <c r="H233" s="152">
        <v>4400000</v>
      </c>
      <c r="I233" s="152">
        <v>4400000</v>
      </c>
      <c r="J233" s="152">
        <v>4400000</v>
      </c>
      <c r="K233" s="152">
        <v>4400000</v>
      </c>
      <c r="L233" s="152">
        <v>4400000</v>
      </c>
      <c r="M233" s="150" t="s">
        <v>269</v>
      </c>
      <c r="N233" s="154">
        <v>1</v>
      </c>
      <c r="O233" s="156">
        <v>48</v>
      </c>
      <c r="P233" s="151" t="s">
        <v>253</v>
      </c>
      <c r="Q233" s="154">
        <v>0</v>
      </c>
      <c r="R233" s="156">
        <v>0</v>
      </c>
      <c r="S233" s="151" t="s">
        <v>83</v>
      </c>
      <c r="T233" s="150" t="s">
        <v>260</v>
      </c>
      <c r="U233" s="150" t="s">
        <v>390</v>
      </c>
      <c r="V233" s="151" t="s">
        <v>432</v>
      </c>
      <c r="W233" s="151"/>
      <c r="X233" s="159">
        <v>44771</v>
      </c>
      <c r="Y233" s="151">
        <v>2022</v>
      </c>
      <c r="Z233" s="151">
        <v>7</v>
      </c>
      <c r="AA233" s="151">
        <v>29</v>
      </c>
    </row>
    <row r="234" spans="1:27" x14ac:dyDescent="0.55000000000000004">
      <c r="A234" s="151">
        <v>260</v>
      </c>
      <c r="B234" s="150"/>
      <c r="C234" s="152">
        <v>1661000</v>
      </c>
      <c r="D234" s="152">
        <v>1661000</v>
      </c>
      <c r="E234" s="152">
        <v>1661000</v>
      </c>
      <c r="F234" s="152">
        <v>0</v>
      </c>
      <c r="G234" s="152">
        <v>1661000</v>
      </c>
      <c r="H234" s="152">
        <v>1661000</v>
      </c>
      <c r="I234" s="152">
        <v>1661000</v>
      </c>
      <c r="J234" s="152">
        <v>1661000</v>
      </c>
      <c r="K234" s="152">
        <v>1661000</v>
      </c>
      <c r="L234" s="152">
        <v>1661000</v>
      </c>
      <c r="M234" s="150" t="s">
        <v>252</v>
      </c>
      <c r="N234" s="154">
        <v>1</v>
      </c>
      <c r="O234" s="156">
        <v>42</v>
      </c>
      <c r="P234" s="151" t="s">
        <v>253</v>
      </c>
      <c r="Q234" s="154">
        <v>0</v>
      </c>
      <c r="R234" s="156">
        <v>0</v>
      </c>
      <c r="S234" s="151" t="s">
        <v>83</v>
      </c>
      <c r="T234" s="150" t="s">
        <v>260</v>
      </c>
      <c r="U234" s="150" t="s">
        <v>390</v>
      </c>
      <c r="V234" s="151" t="s">
        <v>432</v>
      </c>
      <c r="W234" s="151"/>
      <c r="X234" s="159">
        <v>44771</v>
      </c>
      <c r="Y234" s="151">
        <v>2022</v>
      </c>
      <c r="Z234" s="151">
        <v>7</v>
      </c>
      <c r="AA234" s="151">
        <v>29</v>
      </c>
    </row>
    <row r="235" spans="1:27" x14ac:dyDescent="0.55000000000000004">
      <c r="A235" s="151">
        <v>262</v>
      </c>
      <c r="B235" s="150"/>
      <c r="C235" s="152">
        <v>4400000</v>
      </c>
      <c r="D235" s="152">
        <v>4400000</v>
      </c>
      <c r="E235" s="152">
        <v>4400000</v>
      </c>
      <c r="F235" s="152">
        <v>0</v>
      </c>
      <c r="G235" s="152">
        <v>4400000</v>
      </c>
      <c r="H235" s="152">
        <v>4400000</v>
      </c>
      <c r="I235" s="152">
        <v>4400000</v>
      </c>
      <c r="J235" s="152">
        <v>4400000</v>
      </c>
      <c r="K235" s="152">
        <v>4400000</v>
      </c>
      <c r="L235" s="152">
        <v>4400000</v>
      </c>
      <c r="M235" s="150" t="s">
        <v>269</v>
      </c>
      <c r="N235" s="154">
        <v>1</v>
      </c>
      <c r="O235" s="156">
        <v>20</v>
      </c>
      <c r="P235" s="151" t="s">
        <v>253</v>
      </c>
      <c r="Q235" s="154">
        <v>0</v>
      </c>
      <c r="R235" s="156">
        <v>0</v>
      </c>
      <c r="S235" s="151" t="s">
        <v>83</v>
      </c>
      <c r="T235" s="150" t="s">
        <v>260</v>
      </c>
      <c r="U235" s="150" t="s">
        <v>390</v>
      </c>
      <c r="V235" s="151" t="s">
        <v>432</v>
      </c>
      <c r="W235" s="151"/>
      <c r="X235" s="159">
        <v>44771</v>
      </c>
      <c r="Y235" s="151">
        <v>2022</v>
      </c>
      <c r="Z235" s="151">
        <v>7</v>
      </c>
      <c r="AA235" s="151">
        <v>29</v>
      </c>
    </row>
    <row r="236" spans="1:27" x14ac:dyDescent="0.55000000000000004">
      <c r="A236" s="151">
        <v>263</v>
      </c>
      <c r="B236" s="150"/>
      <c r="C236" s="152">
        <v>1540000</v>
      </c>
      <c r="D236" s="152">
        <v>1540000</v>
      </c>
      <c r="E236" s="152">
        <v>1540000</v>
      </c>
      <c r="F236" s="152">
        <v>0</v>
      </c>
      <c r="G236" s="152">
        <v>1540000</v>
      </c>
      <c r="H236" s="152">
        <v>1540000</v>
      </c>
      <c r="I236" s="152">
        <v>1540000</v>
      </c>
      <c r="J236" s="152">
        <v>1540000</v>
      </c>
      <c r="K236" s="152">
        <v>1540000</v>
      </c>
      <c r="L236" s="152">
        <v>1540000</v>
      </c>
      <c r="M236" s="150" t="s">
        <v>252</v>
      </c>
      <c r="N236" s="154">
        <v>1</v>
      </c>
      <c r="O236" s="156">
        <v>5</v>
      </c>
      <c r="P236" s="151" t="s">
        <v>253</v>
      </c>
      <c r="Q236" s="154">
        <v>0</v>
      </c>
      <c r="R236" s="156">
        <v>0</v>
      </c>
      <c r="S236" s="151" t="s">
        <v>83</v>
      </c>
      <c r="T236" s="150" t="s">
        <v>276</v>
      </c>
      <c r="U236" s="150" t="s">
        <v>277</v>
      </c>
      <c r="V236" s="151" t="s">
        <v>432</v>
      </c>
      <c r="W236" s="151"/>
      <c r="X236" s="159">
        <v>44771</v>
      </c>
      <c r="Y236" s="151">
        <v>2022</v>
      </c>
      <c r="Z236" s="151">
        <v>7</v>
      </c>
      <c r="AA236" s="151">
        <v>29</v>
      </c>
    </row>
    <row r="237" spans="1:27" x14ac:dyDescent="0.55000000000000004">
      <c r="A237" s="151">
        <v>264</v>
      </c>
      <c r="B237" s="150"/>
      <c r="C237" s="152">
        <v>9999000</v>
      </c>
      <c r="D237" s="152">
        <v>9999000</v>
      </c>
      <c r="E237" s="152">
        <v>9999000</v>
      </c>
      <c r="F237" s="152">
        <v>0</v>
      </c>
      <c r="G237" s="152">
        <v>9999000</v>
      </c>
      <c r="H237" s="152">
        <v>9999000</v>
      </c>
      <c r="I237" s="152">
        <v>9999000</v>
      </c>
      <c r="J237" s="152">
        <v>9999000</v>
      </c>
      <c r="K237" s="152">
        <v>9999000</v>
      </c>
      <c r="L237" s="152">
        <v>9999000</v>
      </c>
      <c r="M237" s="150" t="s">
        <v>269</v>
      </c>
      <c r="N237" s="154">
        <v>1</v>
      </c>
      <c r="O237" s="156">
        <v>84</v>
      </c>
      <c r="P237" s="151" t="s">
        <v>253</v>
      </c>
      <c r="Q237" s="154">
        <v>0</v>
      </c>
      <c r="R237" s="156">
        <v>0</v>
      </c>
      <c r="S237" s="151" t="s">
        <v>83</v>
      </c>
      <c r="T237" s="150" t="s">
        <v>334</v>
      </c>
      <c r="U237" s="150" t="s">
        <v>339</v>
      </c>
      <c r="V237" s="151" t="s">
        <v>432</v>
      </c>
      <c r="W237" s="151"/>
      <c r="X237" s="159">
        <v>44771</v>
      </c>
      <c r="Y237" s="151">
        <v>2022</v>
      </c>
      <c r="Z237" s="151">
        <v>7</v>
      </c>
      <c r="AA237" s="151">
        <v>29</v>
      </c>
    </row>
    <row r="238" spans="1:27" x14ac:dyDescent="0.55000000000000004">
      <c r="A238" s="151">
        <v>265</v>
      </c>
      <c r="B238" s="150"/>
      <c r="C238" s="152">
        <v>1543000</v>
      </c>
      <c r="D238" s="152">
        <v>1543000</v>
      </c>
      <c r="E238" s="152">
        <v>1543300</v>
      </c>
      <c r="F238" s="152">
        <v>0</v>
      </c>
      <c r="G238" s="152">
        <v>1543300</v>
      </c>
      <c r="H238" s="152">
        <v>1543300</v>
      </c>
      <c r="I238" s="152">
        <v>1543300</v>
      </c>
      <c r="J238" s="152">
        <v>1543300</v>
      </c>
      <c r="K238" s="152">
        <v>1543300</v>
      </c>
      <c r="L238" s="152">
        <v>1543000</v>
      </c>
      <c r="M238" s="150" t="s">
        <v>252</v>
      </c>
      <c r="N238" s="154">
        <v>1</v>
      </c>
      <c r="O238" s="156">
        <v>4</v>
      </c>
      <c r="P238" s="151" t="s">
        <v>253</v>
      </c>
      <c r="Q238" s="154">
        <v>0</v>
      </c>
      <c r="R238" s="156">
        <v>0</v>
      </c>
      <c r="S238" s="151" t="s">
        <v>83</v>
      </c>
      <c r="T238" s="150" t="s">
        <v>254</v>
      </c>
      <c r="U238" s="150" t="s">
        <v>411</v>
      </c>
      <c r="V238" s="151" t="s">
        <v>432</v>
      </c>
      <c r="W238" s="151"/>
      <c r="X238" s="159">
        <v>44771</v>
      </c>
      <c r="Y238" s="151">
        <v>2022</v>
      </c>
      <c r="Z238" s="151">
        <v>7</v>
      </c>
      <c r="AA238" s="151">
        <v>29</v>
      </c>
    </row>
    <row r="239" spans="1:27" x14ac:dyDescent="0.55000000000000004">
      <c r="A239" s="151">
        <v>266</v>
      </c>
      <c r="B239" s="150"/>
      <c r="C239" s="152">
        <v>2970000</v>
      </c>
      <c r="D239" s="152">
        <v>2970000</v>
      </c>
      <c r="E239" s="152">
        <v>2970000</v>
      </c>
      <c r="F239" s="152">
        <v>0</v>
      </c>
      <c r="G239" s="152">
        <v>2970000</v>
      </c>
      <c r="H239" s="152">
        <v>2970000</v>
      </c>
      <c r="I239" s="152">
        <v>2970000</v>
      </c>
      <c r="J239" s="152">
        <v>2970000</v>
      </c>
      <c r="K239" s="152">
        <v>2970000</v>
      </c>
      <c r="L239" s="152">
        <v>2970000</v>
      </c>
      <c r="M239" s="150" t="s">
        <v>269</v>
      </c>
      <c r="N239" s="154">
        <v>1</v>
      </c>
      <c r="O239" s="156">
        <v>10</v>
      </c>
      <c r="P239" s="151" t="s">
        <v>253</v>
      </c>
      <c r="Q239" s="154">
        <v>0</v>
      </c>
      <c r="R239" s="156">
        <v>0</v>
      </c>
      <c r="S239" s="151" t="s">
        <v>83</v>
      </c>
      <c r="T239" s="150" t="s">
        <v>266</v>
      </c>
      <c r="U239" s="150" t="s">
        <v>267</v>
      </c>
      <c r="V239" s="151" t="s">
        <v>432</v>
      </c>
      <c r="W239" s="151"/>
      <c r="X239" s="159">
        <v>44771</v>
      </c>
      <c r="Y239" s="151">
        <v>2022</v>
      </c>
      <c r="Z239" s="151">
        <v>7</v>
      </c>
      <c r="AA239" s="151">
        <v>29</v>
      </c>
    </row>
    <row r="240" spans="1:27" x14ac:dyDescent="0.55000000000000004">
      <c r="A240" s="151">
        <v>269</v>
      </c>
      <c r="B240" s="150"/>
      <c r="C240" s="152">
        <v>42031000</v>
      </c>
      <c r="D240" s="152">
        <v>42031000</v>
      </c>
      <c r="E240" s="152">
        <v>42031330</v>
      </c>
      <c r="F240" s="152">
        <v>0</v>
      </c>
      <c r="G240" s="152">
        <v>42031330</v>
      </c>
      <c r="H240" s="152">
        <v>42031330</v>
      </c>
      <c r="I240" s="152">
        <v>42031330</v>
      </c>
      <c r="J240" s="152">
        <v>42031330</v>
      </c>
      <c r="K240" s="152">
        <v>42031330</v>
      </c>
      <c r="L240" s="152">
        <v>42031000</v>
      </c>
      <c r="M240" s="150" t="s">
        <v>269</v>
      </c>
      <c r="N240" s="154">
        <v>1</v>
      </c>
      <c r="O240" s="156">
        <v>192</v>
      </c>
      <c r="P240" s="151" t="s">
        <v>280</v>
      </c>
      <c r="Q240" s="154">
        <v>1</v>
      </c>
      <c r="R240" s="156">
        <v>1800</v>
      </c>
      <c r="S240" s="151" t="s">
        <v>83</v>
      </c>
      <c r="T240" s="150" t="s">
        <v>272</v>
      </c>
      <c r="U240" s="150" t="s">
        <v>284</v>
      </c>
      <c r="V240" s="151" t="s">
        <v>432</v>
      </c>
      <c r="W240" s="151"/>
      <c r="X240" s="159">
        <v>44771</v>
      </c>
      <c r="Y240" s="151">
        <v>2022</v>
      </c>
      <c r="Z240" s="151">
        <v>7</v>
      </c>
      <c r="AA240" s="151">
        <v>29</v>
      </c>
    </row>
    <row r="241" spans="1:27" x14ac:dyDescent="0.55000000000000004">
      <c r="A241" s="151">
        <v>270</v>
      </c>
      <c r="B241" s="150"/>
      <c r="C241" s="152">
        <v>2420000</v>
      </c>
      <c r="D241" s="152">
        <v>2420000</v>
      </c>
      <c r="E241" s="152">
        <v>2420000</v>
      </c>
      <c r="F241" s="152">
        <v>0</v>
      </c>
      <c r="G241" s="152">
        <v>2420000</v>
      </c>
      <c r="H241" s="152">
        <v>2420000</v>
      </c>
      <c r="I241" s="152">
        <v>2420000</v>
      </c>
      <c r="J241" s="152">
        <v>2420000</v>
      </c>
      <c r="K241" s="152">
        <v>2420000</v>
      </c>
      <c r="L241" s="152">
        <v>2420000</v>
      </c>
      <c r="M241" s="150" t="s">
        <v>252</v>
      </c>
      <c r="N241" s="154">
        <v>1</v>
      </c>
      <c r="O241" s="156">
        <v>200</v>
      </c>
      <c r="P241" s="151" t="s">
        <v>253</v>
      </c>
      <c r="Q241" s="154">
        <v>0</v>
      </c>
      <c r="R241" s="156">
        <v>0</v>
      </c>
      <c r="S241" s="151" t="s">
        <v>83</v>
      </c>
      <c r="T241" s="150" t="s">
        <v>266</v>
      </c>
      <c r="U241" s="150" t="s">
        <v>375</v>
      </c>
      <c r="V241" s="151" t="s">
        <v>432</v>
      </c>
      <c r="W241" s="151"/>
      <c r="X241" s="159">
        <v>44771</v>
      </c>
      <c r="Y241" s="151">
        <v>2022</v>
      </c>
      <c r="Z241" s="151">
        <v>7</v>
      </c>
      <c r="AA241" s="151">
        <v>29</v>
      </c>
    </row>
    <row r="242" spans="1:27" x14ac:dyDescent="0.55000000000000004">
      <c r="A242" s="151">
        <v>271</v>
      </c>
      <c r="B242" s="150"/>
      <c r="C242" s="152">
        <v>524000</v>
      </c>
      <c r="D242" s="152">
        <v>524000</v>
      </c>
      <c r="E242" s="152">
        <v>524700</v>
      </c>
      <c r="F242" s="152">
        <v>0</v>
      </c>
      <c r="G242" s="152">
        <v>524700</v>
      </c>
      <c r="H242" s="152">
        <v>524700</v>
      </c>
      <c r="I242" s="152">
        <v>524700</v>
      </c>
      <c r="J242" s="152">
        <v>524700</v>
      </c>
      <c r="K242" s="152">
        <v>524700</v>
      </c>
      <c r="L242" s="152">
        <v>524000</v>
      </c>
      <c r="M242" s="150" t="s">
        <v>269</v>
      </c>
      <c r="N242" s="154">
        <v>1</v>
      </c>
      <c r="O242" s="156">
        <v>6</v>
      </c>
      <c r="P242" s="151" t="s">
        <v>253</v>
      </c>
      <c r="Q242" s="154">
        <v>0</v>
      </c>
      <c r="R242" s="156">
        <v>0</v>
      </c>
      <c r="S242" s="151" t="s">
        <v>83</v>
      </c>
      <c r="T242" s="150" t="s">
        <v>412</v>
      </c>
      <c r="U242" s="150" t="s">
        <v>413</v>
      </c>
      <c r="V242" s="151" t="s">
        <v>432</v>
      </c>
      <c r="W242" s="151"/>
      <c r="X242" s="159">
        <v>44771</v>
      </c>
      <c r="Y242" s="151">
        <v>2022</v>
      </c>
      <c r="Z242" s="151">
        <v>7</v>
      </c>
      <c r="AA242" s="151">
        <v>29</v>
      </c>
    </row>
    <row r="243" spans="1:27" x14ac:dyDescent="0.55000000000000004">
      <c r="A243" s="151">
        <v>272</v>
      </c>
      <c r="B243" s="150"/>
      <c r="C243" s="152">
        <v>1232000</v>
      </c>
      <c r="D243" s="152">
        <v>1232000</v>
      </c>
      <c r="E243" s="152">
        <v>1232000</v>
      </c>
      <c r="F243" s="152">
        <v>0</v>
      </c>
      <c r="G243" s="152">
        <v>1232000</v>
      </c>
      <c r="H243" s="152">
        <v>1232000</v>
      </c>
      <c r="I243" s="152">
        <v>1232000</v>
      </c>
      <c r="J243" s="152">
        <v>1232000</v>
      </c>
      <c r="K243" s="152">
        <v>1232000</v>
      </c>
      <c r="L243" s="152">
        <v>1232000</v>
      </c>
      <c r="M243" s="150" t="s">
        <v>252</v>
      </c>
      <c r="N243" s="154">
        <v>1</v>
      </c>
      <c r="O243" s="156">
        <v>5</v>
      </c>
      <c r="P243" s="151" t="s">
        <v>253</v>
      </c>
      <c r="Q243" s="154">
        <v>0</v>
      </c>
      <c r="R243" s="156">
        <v>0</v>
      </c>
      <c r="S243" s="151" t="s">
        <v>83</v>
      </c>
      <c r="T243" s="150" t="s">
        <v>311</v>
      </c>
      <c r="U243" s="150" t="s">
        <v>349</v>
      </c>
      <c r="V243" s="151" t="s">
        <v>432</v>
      </c>
      <c r="W243" s="151"/>
      <c r="X243" s="159">
        <v>44771</v>
      </c>
      <c r="Y243" s="151">
        <v>2022</v>
      </c>
      <c r="Z243" s="151">
        <v>7</v>
      </c>
      <c r="AA243" s="151">
        <v>29</v>
      </c>
    </row>
    <row r="244" spans="1:27" x14ac:dyDescent="0.55000000000000004">
      <c r="A244" s="151">
        <v>273</v>
      </c>
      <c r="B244" s="150"/>
      <c r="C244" s="152">
        <v>1463000</v>
      </c>
      <c r="D244" s="152">
        <v>1463000</v>
      </c>
      <c r="E244" s="152">
        <v>1463000</v>
      </c>
      <c r="F244" s="152">
        <v>0</v>
      </c>
      <c r="G244" s="152">
        <v>1463000</v>
      </c>
      <c r="H244" s="152">
        <v>1463000</v>
      </c>
      <c r="I244" s="152">
        <v>1463000</v>
      </c>
      <c r="J244" s="152">
        <v>1463000</v>
      </c>
      <c r="K244" s="152">
        <v>1463000</v>
      </c>
      <c r="L244" s="152">
        <v>1463000</v>
      </c>
      <c r="M244" s="150" t="s">
        <v>252</v>
      </c>
      <c r="N244" s="154">
        <v>1</v>
      </c>
      <c r="O244" s="156">
        <v>5</v>
      </c>
      <c r="P244" s="151" t="s">
        <v>253</v>
      </c>
      <c r="Q244" s="154">
        <v>0</v>
      </c>
      <c r="R244" s="156">
        <v>0</v>
      </c>
      <c r="S244" s="151" t="s">
        <v>83</v>
      </c>
      <c r="T244" s="150" t="s">
        <v>260</v>
      </c>
      <c r="U244" s="150" t="s">
        <v>414</v>
      </c>
      <c r="V244" s="151" t="s">
        <v>432</v>
      </c>
      <c r="W244" s="151"/>
      <c r="X244" s="159">
        <v>44771</v>
      </c>
      <c r="Y244" s="151">
        <v>2022</v>
      </c>
      <c r="Z244" s="151">
        <v>7</v>
      </c>
      <c r="AA244" s="151">
        <v>29</v>
      </c>
    </row>
    <row r="245" spans="1:27" x14ac:dyDescent="0.55000000000000004">
      <c r="A245" s="151">
        <v>274</v>
      </c>
      <c r="B245" s="150"/>
      <c r="C245" s="152">
        <v>5390000</v>
      </c>
      <c r="D245" s="152">
        <v>5390000</v>
      </c>
      <c r="E245" s="152">
        <v>5390000</v>
      </c>
      <c r="F245" s="152">
        <v>0</v>
      </c>
      <c r="G245" s="152">
        <v>5390000</v>
      </c>
      <c r="H245" s="152">
        <v>5390000</v>
      </c>
      <c r="I245" s="152">
        <v>5390000</v>
      </c>
      <c r="J245" s="152">
        <v>5390000</v>
      </c>
      <c r="K245" s="152">
        <v>5390000</v>
      </c>
      <c r="L245" s="152">
        <v>5390000</v>
      </c>
      <c r="M245" s="150" t="s">
        <v>269</v>
      </c>
      <c r="N245" s="154">
        <v>1</v>
      </c>
      <c r="O245" s="156">
        <v>50</v>
      </c>
      <c r="P245" s="151" t="s">
        <v>253</v>
      </c>
      <c r="Q245" s="154">
        <v>0</v>
      </c>
      <c r="R245" s="156">
        <v>0</v>
      </c>
      <c r="S245" s="151" t="s">
        <v>83</v>
      </c>
      <c r="T245" s="150" t="s">
        <v>276</v>
      </c>
      <c r="U245" s="150" t="s">
        <v>406</v>
      </c>
      <c r="V245" s="151" t="s">
        <v>432</v>
      </c>
      <c r="W245" s="151"/>
      <c r="X245" s="159">
        <v>44771</v>
      </c>
      <c r="Y245" s="151">
        <v>2022</v>
      </c>
      <c r="Z245" s="151">
        <v>7</v>
      </c>
      <c r="AA245" s="151">
        <v>29</v>
      </c>
    </row>
    <row r="246" spans="1:27" x14ac:dyDescent="0.55000000000000004">
      <c r="A246" s="151">
        <v>275</v>
      </c>
      <c r="B246" s="150"/>
      <c r="C246" s="152">
        <v>3002000</v>
      </c>
      <c r="D246" s="152">
        <v>3002000</v>
      </c>
      <c r="E246" s="152">
        <v>3002912</v>
      </c>
      <c r="F246" s="152">
        <v>0</v>
      </c>
      <c r="G246" s="152">
        <v>3002912</v>
      </c>
      <c r="H246" s="152">
        <v>3002912</v>
      </c>
      <c r="I246" s="152">
        <v>3002912</v>
      </c>
      <c r="J246" s="152">
        <v>3002912</v>
      </c>
      <c r="K246" s="152">
        <v>3002912</v>
      </c>
      <c r="L246" s="152">
        <v>3002000</v>
      </c>
      <c r="M246" s="150" t="s">
        <v>269</v>
      </c>
      <c r="N246" s="154">
        <v>2</v>
      </c>
      <c r="O246" s="156">
        <v>20</v>
      </c>
      <c r="P246" s="151" t="s">
        <v>253</v>
      </c>
      <c r="Q246" s="154">
        <v>0</v>
      </c>
      <c r="R246" s="156">
        <v>0</v>
      </c>
      <c r="S246" s="151" t="s">
        <v>83</v>
      </c>
      <c r="T246" s="150" t="s">
        <v>266</v>
      </c>
      <c r="U246" s="150" t="s">
        <v>364</v>
      </c>
      <c r="V246" s="151" t="s">
        <v>432</v>
      </c>
      <c r="W246" s="151"/>
      <c r="X246" s="159">
        <v>44771</v>
      </c>
      <c r="Y246" s="151">
        <v>2022</v>
      </c>
      <c r="Z246" s="151">
        <v>7</v>
      </c>
      <c r="AA246" s="151">
        <v>29</v>
      </c>
    </row>
    <row r="247" spans="1:27" x14ac:dyDescent="0.55000000000000004">
      <c r="A247" s="151">
        <v>276</v>
      </c>
      <c r="B247" s="150"/>
      <c r="C247" s="152">
        <v>1603000</v>
      </c>
      <c r="D247" s="152">
        <v>1603000</v>
      </c>
      <c r="E247" s="152">
        <v>1603410</v>
      </c>
      <c r="F247" s="152">
        <v>0</v>
      </c>
      <c r="G247" s="152">
        <v>1603410</v>
      </c>
      <c r="H247" s="152">
        <v>1603410</v>
      </c>
      <c r="I247" s="152">
        <v>1603410</v>
      </c>
      <c r="J247" s="152">
        <v>1603410</v>
      </c>
      <c r="K247" s="152">
        <v>1603410</v>
      </c>
      <c r="L247" s="152">
        <v>1603000</v>
      </c>
      <c r="M247" s="150" t="s">
        <v>252</v>
      </c>
      <c r="N247" s="154">
        <v>1</v>
      </c>
      <c r="O247" s="156">
        <v>16</v>
      </c>
      <c r="P247" s="151" t="s">
        <v>253</v>
      </c>
      <c r="Q247" s="154">
        <v>0</v>
      </c>
      <c r="R247" s="156">
        <v>0</v>
      </c>
      <c r="S247" s="151" t="s">
        <v>83</v>
      </c>
      <c r="T247" s="150" t="s">
        <v>283</v>
      </c>
      <c r="U247" s="150" t="s">
        <v>415</v>
      </c>
      <c r="V247" s="151" t="s">
        <v>432</v>
      </c>
      <c r="W247" s="151"/>
      <c r="X247" s="159">
        <v>44771</v>
      </c>
      <c r="Y247" s="151">
        <v>2022</v>
      </c>
      <c r="Z247" s="151">
        <v>7</v>
      </c>
      <c r="AA247" s="151">
        <v>29</v>
      </c>
    </row>
    <row r="248" spans="1:27" x14ac:dyDescent="0.55000000000000004">
      <c r="A248" s="151">
        <v>277</v>
      </c>
      <c r="B248" s="150"/>
      <c r="C248" s="152">
        <v>1463000</v>
      </c>
      <c r="D248" s="152">
        <v>1463000</v>
      </c>
      <c r="E248" s="152">
        <v>1463687</v>
      </c>
      <c r="F248" s="152">
        <v>0</v>
      </c>
      <c r="G248" s="152">
        <v>1463687</v>
      </c>
      <c r="H248" s="152">
        <v>1463687</v>
      </c>
      <c r="I248" s="152">
        <v>1463687</v>
      </c>
      <c r="J248" s="152">
        <v>1463687</v>
      </c>
      <c r="K248" s="152">
        <v>1463687</v>
      </c>
      <c r="L248" s="152">
        <v>1463000</v>
      </c>
      <c r="M248" s="150" t="s">
        <v>252</v>
      </c>
      <c r="N248" s="154">
        <v>1</v>
      </c>
      <c r="O248" s="156">
        <v>15</v>
      </c>
      <c r="P248" s="151" t="s">
        <v>253</v>
      </c>
      <c r="Q248" s="154">
        <v>0</v>
      </c>
      <c r="R248" s="156">
        <v>0</v>
      </c>
      <c r="S248" s="151" t="s">
        <v>83</v>
      </c>
      <c r="T248" s="150" t="s">
        <v>321</v>
      </c>
      <c r="U248" s="150" t="s">
        <v>416</v>
      </c>
      <c r="V248" s="151" t="s">
        <v>432</v>
      </c>
      <c r="W248" s="151"/>
      <c r="X248" s="159">
        <v>44771</v>
      </c>
      <c r="Y248" s="151">
        <v>2022</v>
      </c>
      <c r="Z248" s="151">
        <v>7</v>
      </c>
      <c r="AA248" s="151">
        <v>29</v>
      </c>
    </row>
    <row r="249" spans="1:27" x14ac:dyDescent="0.55000000000000004">
      <c r="A249" s="151">
        <v>278</v>
      </c>
      <c r="B249" s="150"/>
      <c r="C249" s="152">
        <v>1474000</v>
      </c>
      <c r="D249" s="152">
        <v>1474000</v>
      </c>
      <c r="E249" s="152">
        <v>1474000</v>
      </c>
      <c r="F249" s="152">
        <v>0</v>
      </c>
      <c r="G249" s="152">
        <v>1474000</v>
      </c>
      <c r="H249" s="152">
        <v>1474000</v>
      </c>
      <c r="I249" s="152">
        <v>1474000</v>
      </c>
      <c r="J249" s="152">
        <v>1474000</v>
      </c>
      <c r="K249" s="152">
        <v>1474000</v>
      </c>
      <c r="L249" s="152">
        <v>1474000</v>
      </c>
      <c r="M249" s="150" t="s">
        <v>269</v>
      </c>
      <c r="N249" s="154">
        <v>1</v>
      </c>
      <c r="O249" s="156">
        <v>10</v>
      </c>
      <c r="P249" s="151" t="s">
        <v>253</v>
      </c>
      <c r="Q249" s="154">
        <v>0</v>
      </c>
      <c r="R249" s="156">
        <v>0</v>
      </c>
      <c r="S249" s="151" t="s">
        <v>83</v>
      </c>
      <c r="T249" s="150" t="s">
        <v>256</v>
      </c>
      <c r="U249" s="150" t="s">
        <v>417</v>
      </c>
      <c r="V249" s="151" t="s">
        <v>432</v>
      </c>
      <c r="W249" s="151"/>
      <c r="X249" s="159">
        <v>44771</v>
      </c>
      <c r="Y249" s="151">
        <v>2022</v>
      </c>
      <c r="Z249" s="151">
        <v>7</v>
      </c>
      <c r="AA249" s="151">
        <v>29</v>
      </c>
    </row>
    <row r="250" spans="1:27" x14ac:dyDescent="0.55000000000000004">
      <c r="A250" s="151">
        <v>279</v>
      </c>
      <c r="B250" s="150"/>
      <c r="C250" s="152">
        <v>1232000</v>
      </c>
      <c r="D250" s="152">
        <v>1232000</v>
      </c>
      <c r="E250" s="152">
        <v>1232000</v>
      </c>
      <c r="F250" s="152">
        <v>0</v>
      </c>
      <c r="G250" s="152">
        <v>1232000</v>
      </c>
      <c r="H250" s="152">
        <v>1232000</v>
      </c>
      <c r="I250" s="152">
        <v>1232000</v>
      </c>
      <c r="J250" s="152">
        <v>1232000</v>
      </c>
      <c r="K250" s="152">
        <v>1232000</v>
      </c>
      <c r="L250" s="152">
        <v>1232000</v>
      </c>
      <c r="M250" s="150" t="s">
        <v>252</v>
      </c>
      <c r="N250" s="154">
        <v>1</v>
      </c>
      <c r="O250" s="156">
        <v>24</v>
      </c>
      <c r="P250" s="151" t="s">
        <v>253</v>
      </c>
      <c r="Q250" s="154">
        <v>0</v>
      </c>
      <c r="R250" s="156">
        <v>0</v>
      </c>
      <c r="S250" s="151" t="s">
        <v>83</v>
      </c>
      <c r="T250" s="150" t="s">
        <v>266</v>
      </c>
      <c r="U250" s="150" t="s">
        <v>267</v>
      </c>
      <c r="V250" s="151" t="s">
        <v>432</v>
      </c>
      <c r="W250" s="151"/>
      <c r="X250" s="159">
        <v>44771</v>
      </c>
      <c r="Y250" s="151">
        <v>2022</v>
      </c>
      <c r="Z250" s="151">
        <v>7</v>
      </c>
      <c r="AA250" s="151">
        <v>29</v>
      </c>
    </row>
    <row r="251" spans="1:27" x14ac:dyDescent="0.55000000000000004">
      <c r="A251" s="151">
        <v>280</v>
      </c>
      <c r="B251" s="150"/>
      <c r="C251" s="152">
        <v>1390000</v>
      </c>
      <c r="D251" s="152">
        <v>1390000</v>
      </c>
      <c r="E251" s="152">
        <v>1390400</v>
      </c>
      <c r="F251" s="152">
        <v>0</v>
      </c>
      <c r="G251" s="152">
        <v>1390400</v>
      </c>
      <c r="H251" s="152">
        <v>1390400</v>
      </c>
      <c r="I251" s="152">
        <v>1390400</v>
      </c>
      <c r="J251" s="152">
        <v>1390400</v>
      </c>
      <c r="K251" s="152">
        <v>1390400</v>
      </c>
      <c r="L251" s="152">
        <v>1390000</v>
      </c>
      <c r="M251" s="150" t="s">
        <v>252</v>
      </c>
      <c r="N251" s="154">
        <v>1</v>
      </c>
      <c r="O251" s="156">
        <v>10</v>
      </c>
      <c r="P251" s="151" t="s">
        <v>253</v>
      </c>
      <c r="Q251" s="154">
        <v>0</v>
      </c>
      <c r="R251" s="156">
        <v>0</v>
      </c>
      <c r="S251" s="151" t="s">
        <v>83</v>
      </c>
      <c r="T251" s="150" t="s">
        <v>264</v>
      </c>
      <c r="U251" s="150" t="s">
        <v>418</v>
      </c>
      <c r="V251" s="151" t="s">
        <v>432</v>
      </c>
      <c r="W251" s="151"/>
      <c r="X251" s="159">
        <v>44771</v>
      </c>
      <c r="Y251" s="151">
        <v>2022</v>
      </c>
      <c r="Z251" s="151">
        <v>7</v>
      </c>
      <c r="AA251" s="151">
        <v>29</v>
      </c>
    </row>
    <row r="252" spans="1:27" x14ac:dyDescent="0.55000000000000004">
      <c r="A252" s="151">
        <v>281</v>
      </c>
      <c r="B252" s="150"/>
      <c r="C252" s="152">
        <v>1479000</v>
      </c>
      <c r="D252" s="152">
        <v>1479000</v>
      </c>
      <c r="E252" s="152">
        <v>1479500</v>
      </c>
      <c r="F252" s="152">
        <v>0</v>
      </c>
      <c r="G252" s="152">
        <v>1479500</v>
      </c>
      <c r="H252" s="152">
        <v>1479500</v>
      </c>
      <c r="I252" s="152">
        <v>1479500</v>
      </c>
      <c r="J252" s="152">
        <v>1479500</v>
      </c>
      <c r="K252" s="152">
        <v>1479500</v>
      </c>
      <c r="L252" s="152">
        <v>1479000</v>
      </c>
      <c r="M252" s="150" t="s">
        <v>252</v>
      </c>
      <c r="N252" s="154">
        <v>1</v>
      </c>
      <c r="O252" s="156">
        <v>10</v>
      </c>
      <c r="P252" s="151" t="s">
        <v>253</v>
      </c>
      <c r="Q252" s="154">
        <v>0</v>
      </c>
      <c r="R252" s="156">
        <v>0</v>
      </c>
      <c r="S252" s="151" t="s">
        <v>83</v>
      </c>
      <c r="T252" s="150" t="s">
        <v>276</v>
      </c>
      <c r="U252" s="150" t="s">
        <v>367</v>
      </c>
      <c r="V252" s="151" t="s">
        <v>432</v>
      </c>
      <c r="W252" s="151"/>
      <c r="X252" s="159">
        <v>44771</v>
      </c>
      <c r="Y252" s="151">
        <v>2022</v>
      </c>
      <c r="Z252" s="151">
        <v>7</v>
      </c>
      <c r="AA252" s="151">
        <v>29</v>
      </c>
    </row>
    <row r="253" spans="1:27" x14ac:dyDescent="0.55000000000000004">
      <c r="A253" s="151">
        <v>282</v>
      </c>
      <c r="B253" s="150"/>
      <c r="C253" s="152">
        <v>1463000</v>
      </c>
      <c r="D253" s="152">
        <v>1463000</v>
      </c>
      <c r="E253" s="152">
        <v>1463688</v>
      </c>
      <c r="F253" s="152">
        <v>0</v>
      </c>
      <c r="G253" s="152">
        <v>1463688</v>
      </c>
      <c r="H253" s="152">
        <v>1463688</v>
      </c>
      <c r="I253" s="152">
        <v>1463688</v>
      </c>
      <c r="J253" s="152">
        <v>1463688</v>
      </c>
      <c r="K253" s="152">
        <v>1463688</v>
      </c>
      <c r="L253" s="152">
        <v>1463000</v>
      </c>
      <c r="M253" s="150" t="s">
        <v>269</v>
      </c>
      <c r="N253" s="154">
        <v>1</v>
      </c>
      <c r="O253" s="156">
        <v>15</v>
      </c>
      <c r="P253" s="151" t="s">
        <v>253</v>
      </c>
      <c r="Q253" s="154">
        <v>0</v>
      </c>
      <c r="R253" s="156">
        <v>0</v>
      </c>
      <c r="S253" s="151" t="s">
        <v>83</v>
      </c>
      <c r="T253" s="150" t="s">
        <v>321</v>
      </c>
      <c r="U253" s="150" t="s">
        <v>419</v>
      </c>
      <c r="V253" s="151" t="s">
        <v>432</v>
      </c>
      <c r="W253" s="151"/>
      <c r="X253" s="159">
        <v>44771</v>
      </c>
      <c r="Y253" s="151">
        <v>2022</v>
      </c>
      <c r="Z253" s="151">
        <v>7</v>
      </c>
      <c r="AA253" s="151">
        <v>29</v>
      </c>
    </row>
    <row r="254" spans="1:27" x14ac:dyDescent="0.55000000000000004">
      <c r="A254" s="151">
        <v>283</v>
      </c>
      <c r="B254" s="150"/>
      <c r="C254" s="152">
        <v>3137000</v>
      </c>
      <c r="D254" s="152">
        <v>3137000</v>
      </c>
      <c r="E254" s="152">
        <v>3137530</v>
      </c>
      <c r="F254" s="152">
        <v>0</v>
      </c>
      <c r="G254" s="152">
        <v>3137530</v>
      </c>
      <c r="H254" s="152">
        <v>3137530</v>
      </c>
      <c r="I254" s="152">
        <v>3137530</v>
      </c>
      <c r="J254" s="152">
        <v>3137530</v>
      </c>
      <c r="K254" s="152">
        <v>3137530</v>
      </c>
      <c r="L254" s="152">
        <v>3137000</v>
      </c>
      <c r="M254" s="150" t="s">
        <v>269</v>
      </c>
      <c r="N254" s="154">
        <v>1</v>
      </c>
      <c r="O254" s="156">
        <v>4</v>
      </c>
      <c r="P254" s="151" t="s">
        <v>253</v>
      </c>
      <c r="Q254" s="154">
        <v>0</v>
      </c>
      <c r="R254" s="156">
        <v>0</v>
      </c>
      <c r="S254" s="151" t="s">
        <v>83</v>
      </c>
      <c r="T254" s="150" t="s">
        <v>334</v>
      </c>
      <c r="U254" s="150" t="s">
        <v>295</v>
      </c>
      <c r="V254" s="151" t="s">
        <v>432</v>
      </c>
      <c r="W254" s="151"/>
      <c r="X254" s="159">
        <v>44771</v>
      </c>
      <c r="Y254" s="151">
        <v>2022</v>
      </c>
      <c r="Z254" s="151">
        <v>7</v>
      </c>
      <c r="AA254" s="151">
        <v>29</v>
      </c>
    </row>
    <row r="255" spans="1:27" x14ac:dyDescent="0.55000000000000004">
      <c r="A255" s="151">
        <v>285</v>
      </c>
      <c r="B255" s="150"/>
      <c r="C255" s="152">
        <v>1540000</v>
      </c>
      <c r="D255" s="152">
        <v>1540000</v>
      </c>
      <c r="E255" s="152">
        <v>1540000</v>
      </c>
      <c r="F255" s="152">
        <v>0</v>
      </c>
      <c r="G255" s="152">
        <v>1540000</v>
      </c>
      <c r="H255" s="152">
        <v>1540000</v>
      </c>
      <c r="I255" s="152">
        <v>1540000</v>
      </c>
      <c r="J255" s="152">
        <v>1540000</v>
      </c>
      <c r="K255" s="152">
        <v>1540000</v>
      </c>
      <c r="L255" s="152">
        <v>1540000</v>
      </c>
      <c r="M255" s="150" t="s">
        <v>269</v>
      </c>
      <c r="N255" s="154">
        <v>1</v>
      </c>
      <c r="O255" s="156">
        <v>6</v>
      </c>
      <c r="P255" s="151" t="s">
        <v>253</v>
      </c>
      <c r="Q255" s="154">
        <v>0</v>
      </c>
      <c r="R255" s="156">
        <v>0</v>
      </c>
      <c r="S255" s="151" t="s">
        <v>83</v>
      </c>
      <c r="T255" s="150" t="s">
        <v>258</v>
      </c>
      <c r="U255" s="150" t="s">
        <v>301</v>
      </c>
      <c r="V255" s="151" t="s">
        <v>432</v>
      </c>
      <c r="W255" s="151"/>
      <c r="X255" s="159">
        <v>44771</v>
      </c>
      <c r="Y255" s="151">
        <v>2022</v>
      </c>
      <c r="Z255" s="151">
        <v>7</v>
      </c>
      <c r="AA255" s="151">
        <v>29</v>
      </c>
    </row>
    <row r="256" spans="1:27" x14ac:dyDescent="0.55000000000000004">
      <c r="A256" s="151">
        <v>287</v>
      </c>
      <c r="B256" s="150"/>
      <c r="C256" s="152">
        <v>1232000</v>
      </c>
      <c r="D256" s="152">
        <v>1232000</v>
      </c>
      <c r="E256" s="152">
        <v>1232000</v>
      </c>
      <c r="F256" s="152">
        <v>0</v>
      </c>
      <c r="G256" s="152">
        <v>1232000</v>
      </c>
      <c r="H256" s="152">
        <v>1232000</v>
      </c>
      <c r="I256" s="152">
        <v>1232000</v>
      </c>
      <c r="J256" s="152">
        <v>1232000</v>
      </c>
      <c r="K256" s="152">
        <v>1232000</v>
      </c>
      <c r="L256" s="152">
        <v>1232000</v>
      </c>
      <c r="M256" s="150" t="s">
        <v>252</v>
      </c>
      <c r="N256" s="154">
        <v>1</v>
      </c>
      <c r="O256" s="156">
        <v>5</v>
      </c>
      <c r="P256" s="151" t="s">
        <v>253</v>
      </c>
      <c r="Q256" s="154">
        <v>0</v>
      </c>
      <c r="R256" s="156">
        <v>0</v>
      </c>
      <c r="S256" s="151" t="s">
        <v>83</v>
      </c>
      <c r="T256" s="150" t="s">
        <v>266</v>
      </c>
      <c r="U256" s="150" t="s">
        <v>267</v>
      </c>
      <c r="V256" s="151" t="s">
        <v>432</v>
      </c>
      <c r="W256" s="151"/>
      <c r="X256" s="159">
        <v>44771</v>
      </c>
      <c r="Y256" s="151">
        <v>2022</v>
      </c>
      <c r="Z256" s="151">
        <v>7</v>
      </c>
      <c r="AA256" s="151">
        <v>29</v>
      </c>
    </row>
    <row r="257" spans="1:27" x14ac:dyDescent="0.55000000000000004">
      <c r="A257" s="151">
        <v>289</v>
      </c>
      <c r="B257" s="150"/>
      <c r="C257" s="152">
        <v>1540000</v>
      </c>
      <c r="D257" s="152">
        <v>1540000</v>
      </c>
      <c r="E257" s="152">
        <v>1540000</v>
      </c>
      <c r="F257" s="152">
        <v>0</v>
      </c>
      <c r="G257" s="152">
        <v>1540000</v>
      </c>
      <c r="H257" s="152">
        <v>1540000</v>
      </c>
      <c r="I257" s="152">
        <v>1540000</v>
      </c>
      <c r="J257" s="152">
        <v>1540000</v>
      </c>
      <c r="K257" s="152">
        <v>1540000</v>
      </c>
      <c r="L257" s="152">
        <v>1540000</v>
      </c>
      <c r="M257" s="150" t="s">
        <v>252</v>
      </c>
      <c r="N257" s="154">
        <v>1</v>
      </c>
      <c r="O257" s="156">
        <v>12</v>
      </c>
      <c r="P257" s="151" t="s">
        <v>253</v>
      </c>
      <c r="Q257" s="154">
        <v>0</v>
      </c>
      <c r="R257" s="156">
        <v>0</v>
      </c>
      <c r="S257" s="151" t="s">
        <v>83</v>
      </c>
      <c r="T257" s="150" t="s">
        <v>264</v>
      </c>
      <c r="U257" s="150" t="s">
        <v>361</v>
      </c>
      <c r="V257" s="151" t="s">
        <v>432</v>
      </c>
      <c r="W257" s="151"/>
      <c r="X257" s="159">
        <v>44771</v>
      </c>
      <c r="Y257" s="151">
        <v>2022</v>
      </c>
      <c r="Z257" s="151">
        <v>7</v>
      </c>
      <c r="AA257" s="151">
        <v>29</v>
      </c>
    </row>
    <row r="258" spans="1:27" x14ac:dyDescent="0.55000000000000004">
      <c r="A258" s="151">
        <v>290</v>
      </c>
      <c r="B258" s="150"/>
      <c r="C258" s="152">
        <v>1570000</v>
      </c>
      <c r="D258" s="152">
        <v>1570000</v>
      </c>
      <c r="E258" s="152">
        <v>1570625</v>
      </c>
      <c r="F258" s="152">
        <v>0</v>
      </c>
      <c r="G258" s="152">
        <v>1570625</v>
      </c>
      <c r="H258" s="152">
        <v>1570625</v>
      </c>
      <c r="I258" s="152">
        <v>1570625</v>
      </c>
      <c r="J258" s="152">
        <v>1570625</v>
      </c>
      <c r="K258" s="152">
        <v>1570625</v>
      </c>
      <c r="L258" s="152">
        <v>1570000</v>
      </c>
      <c r="M258" s="150" t="s">
        <v>269</v>
      </c>
      <c r="N258" s="154">
        <v>1</v>
      </c>
      <c r="O258" s="156">
        <v>6</v>
      </c>
      <c r="P258" s="151" t="s">
        <v>253</v>
      </c>
      <c r="Q258" s="154">
        <v>0</v>
      </c>
      <c r="R258" s="156">
        <v>0</v>
      </c>
      <c r="S258" s="151" t="s">
        <v>83</v>
      </c>
      <c r="T258" s="150" t="s">
        <v>266</v>
      </c>
      <c r="U258" s="150" t="s">
        <v>420</v>
      </c>
      <c r="V258" s="151" t="s">
        <v>432</v>
      </c>
      <c r="W258" s="151"/>
      <c r="X258" s="159">
        <v>44771</v>
      </c>
      <c r="Y258" s="151">
        <v>2022</v>
      </c>
      <c r="Z258" s="151">
        <v>7</v>
      </c>
      <c r="AA258" s="151">
        <v>29</v>
      </c>
    </row>
    <row r="259" spans="1:27" x14ac:dyDescent="0.55000000000000004">
      <c r="A259" s="151">
        <v>291</v>
      </c>
      <c r="B259" s="150"/>
      <c r="C259" s="152">
        <v>1430000</v>
      </c>
      <c r="D259" s="152">
        <v>1430000</v>
      </c>
      <c r="E259" s="152">
        <v>1430000</v>
      </c>
      <c r="F259" s="152">
        <v>0</v>
      </c>
      <c r="G259" s="152">
        <v>1430000</v>
      </c>
      <c r="H259" s="152">
        <v>1430000</v>
      </c>
      <c r="I259" s="152">
        <v>1430000</v>
      </c>
      <c r="J259" s="152">
        <v>1430000</v>
      </c>
      <c r="K259" s="152">
        <v>1430000</v>
      </c>
      <c r="L259" s="152">
        <v>1430000</v>
      </c>
      <c r="M259" s="150" t="s">
        <v>252</v>
      </c>
      <c r="N259" s="154">
        <v>1</v>
      </c>
      <c r="O259" s="156">
        <v>40</v>
      </c>
      <c r="P259" s="151" t="s">
        <v>253</v>
      </c>
      <c r="Q259" s="154">
        <v>0</v>
      </c>
      <c r="R259" s="156">
        <v>0</v>
      </c>
      <c r="S259" s="151" t="s">
        <v>83</v>
      </c>
      <c r="T259" s="150" t="s">
        <v>276</v>
      </c>
      <c r="U259" s="150" t="s">
        <v>406</v>
      </c>
      <c r="V259" s="151" t="s">
        <v>432</v>
      </c>
      <c r="W259" s="151"/>
      <c r="X259" s="159">
        <v>44771</v>
      </c>
      <c r="Y259" s="151">
        <v>2022</v>
      </c>
      <c r="Z259" s="151">
        <v>7</v>
      </c>
      <c r="AA259" s="151">
        <v>29</v>
      </c>
    </row>
    <row r="260" spans="1:27" x14ac:dyDescent="0.55000000000000004">
      <c r="A260" s="151">
        <v>292</v>
      </c>
      <c r="B260" s="150"/>
      <c r="C260" s="152">
        <v>1540000</v>
      </c>
      <c r="D260" s="152">
        <v>1540000</v>
      </c>
      <c r="E260" s="152">
        <v>1540000</v>
      </c>
      <c r="F260" s="152">
        <v>0</v>
      </c>
      <c r="G260" s="152">
        <v>1540000</v>
      </c>
      <c r="H260" s="152">
        <v>1540000</v>
      </c>
      <c r="I260" s="152">
        <v>1540000</v>
      </c>
      <c r="J260" s="152">
        <v>1540000</v>
      </c>
      <c r="K260" s="152">
        <v>1540000</v>
      </c>
      <c r="L260" s="152">
        <v>1540000</v>
      </c>
      <c r="M260" s="150" t="s">
        <v>252</v>
      </c>
      <c r="N260" s="154">
        <v>1</v>
      </c>
      <c r="O260" s="156">
        <v>35</v>
      </c>
      <c r="P260" s="151" t="s">
        <v>253</v>
      </c>
      <c r="Q260" s="154">
        <v>0</v>
      </c>
      <c r="R260" s="156">
        <v>0</v>
      </c>
      <c r="S260" s="151" t="s">
        <v>83</v>
      </c>
      <c r="T260" s="150" t="s">
        <v>276</v>
      </c>
      <c r="U260" s="150" t="s">
        <v>369</v>
      </c>
      <c r="V260" s="151" t="s">
        <v>432</v>
      </c>
      <c r="W260" s="151"/>
      <c r="X260" s="159">
        <v>44771</v>
      </c>
      <c r="Y260" s="151">
        <v>2022</v>
      </c>
      <c r="Z260" s="151">
        <v>7</v>
      </c>
      <c r="AA260" s="151">
        <v>29</v>
      </c>
    </row>
    <row r="261" spans="1:27" x14ac:dyDescent="0.55000000000000004">
      <c r="A261" s="151">
        <v>293</v>
      </c>
      <c r="B261" s="150"/>
      <c r="C261" s="152">
        <v>1543000</v>
      </c>
      <c r="D261" s="152">
        <v>1543000</v>
      </c>
      <c r="E261" s="152">
        <v>1543300</v>
      </c>
      <c r="F261" s="152">
        <v>0</v>
      </c>
      <c r="G261" s="152">
        <v>1543300</v>
      </c>
      <c r="H261" s="152">
        <v>1543300</v>
      </c>
      <c r="I261" s="152">
        <v>1543300</v>
      </c>
      <c r="J261" s="152">
        <v>1543300</v>
      </c>
      <c r="K261" s="152">
        <v>1543300</v>
      </c>
      <c r="L261" s="152">
        <v>1543000</v>
      </c>
      <c r="M261" s="150" t="s">
        <v>252</v>
      </c>
      <c r="N261" s="154">
        <v>1</v>
      </c>
      <c r="O261" s="156">
        <v>4</v>
      </c>
      <c r="P261" s="151" t="s">
        <v>253</v>
      </c>
      <c r="Q261" s="154">
        <v>0</v>
      </c>
      <c r="R261" s="156">
        <v>0</v>
      </c>
      <c r="S261" s="151" t="s">
        <v>83</v>
      </c>
      <c r="T261" s="150" t="s">
        <v>395</v>
      </c>
      <c r="U261" s="150" t="s">
        <v>380</v>
      </c>
      <c r="V261" s="151" t="s">
        <v>432</v>
      </c>
      <c r="W261" s="151"/>
      <c r="X261" s="159">
        <v>44771</v>
      </c>
      <c r="Y261" s="151">
        <v>2022</v>
      </c>
      <c r="Z261" s="151">
        <v>7</v>
      </c>
      <c r="AA261" s="151">
        <v>29</v>
      </c>
    </row>
    <row r="262" spans="1:27" x14ac:dyDescent="0.55000000000000004">
      <c r="A262" s="151">
        <v>294</v>
      </c>
      <c r="B262" s="150"/>
      <c r="C262" s="152">
        <v>1485000</v>
      </c>
      <c r="D262" s="152">
        <v>1485000</v>
      </c>
      <c r="E262" s="152">
        <v>1485000</v>
      </c>
      <c r="F262" s="152">
        <v>0</v>
      </c>
      <c r="G262" s="152">
        <v>1485000</v>
      </c>
      <c r="H262" s="152">
        <v>1485000</v>
      </c>
      <c r="I262" s="152">
        <v>1485000</v>
      </c>
      <c r="J262" s="152">
        <v>1485000</v>
      </c>
      <c r="K262" s="152">
        <v>1485000</v>
      </c>
      <c r="L262" s="152">
        <v>1485000</v>
      </c>
      <c r="M262" s="150" t="s">
        <v>252</v>
      </c>
      <c r="N262" s="154">
        <v>1</v>
      </c>
      <c r="O262" s="156">
        <v>30</v>
      </c>
      <c r="P262" s="151" t="s">
        <v>253</v>
      </c>
      <c r="Q262" s="154">
        <v>0</v>
      </c>
      <c r="R262" s="156">
        <v>0</v>
      </c>
      <c r="S262" s="151" t="s">
        <v>83</v>
      </c>
      <c r="T262" s="150" t="s">
        <v>260</v>
      </c>
      <c r="U262" s="150" t="s">
        <v>330</v>
      </c>
      <c r="V262" s="151" t="s">
        <v>432</v>
      </c>
      <c r="W262" s="151"/>
      <c r="X262" s="159">
        <v>44771</v>
      </c>
      <c r="Y262" s="151">
        <v>2022</v>
      </c>
      <c r="Z262" s="151">
        <v>7</v>
      </c>
      <c r="AA262" s="151">
        <v>29</v>
      </c>
    </row>
    <row r="263" spans="1:27" x14ac:dyDescent="0.55000000000000004">
      <c r="A263" s="151">
        <v>295</v>
      </c>
      <c r="B263" s="150"/>
      <c r="C263" s="152">
        <v>1430000</v>
      </c>
      <c r="D263" s="152">
        <v>1430000</v>
      </c>
      <c r="E263" s="152">
        <v>1430000</v>
      </c>
      <c r="F263" s="152">
        <v>0</v>
      </c>
      <c r="G263" s="152">
        <v>1430000</v>
      </c>
      <c r="H263" s="152">
        <v>1430000</v>
      </c>
      <c r="I263" s="152">
        <v>1430000</v>
      </c>
      <c r="J263" s="152">
        <v>1430000</v>
      </c>
      <c r="K263" s="152">
        <v>1430000</v>
      </c>
      <c r="L263" s="152">
        <v>1430000</v>
      </c>
      <c r="M263" s="150" t="s">
        <v>252</v>
      </c>
      <c r="N263" s="154">
        <v>1</v>
      </c>
      <c r="O263" s="156">
        <v>8</v>
      </c>
      <c r="P263" s="151" t="s">
        <v>253</v>
      </c>
      <c r="Q263" s="154">
        <v>0</v>
      </c>
      <c r="R263" s="156">
        <v>0</v>
      </c>
      <c r="S263" s="151" t="s">
        <v>83</v>
      </c>
      <c r="T263" s="150" t="s">
        <v>266</v>
      </c>
      <c r="U263" s="150" t="s">
        <v>275</v>
      </c>
      <c r="V263" s="151" t="s">
        <v>432</v>
      </c>
      <c r="W263" s="151"/>
      <c r="X263" s="159">
        <v>44771</v>
      </c>
      <c r="Y263" s="151">
        <v>2022</v>
      </c>
      <c r="Z263" s="151">
        <v>7</v>
      </c>
      <c r="AA263" s="151">
        <v>29</v>
      </c>
    </row>
    <row r="264" spans="1:27" x14ac:dyDescent="0.55000000000000004">
      <c r="A264" s="151">
        <v>296</v>
      </c>
      <c r="B264" s="150"/>
      <c r="C264" s="152">
        <v>1375000</v>
      </c>
      <c r="D264" s="152">
        <v>1375000</v>
      </c>
      <c r="E264" s="152">
        <v>1375000</v>
      </c>
      <c r="F264" s="152">
        <v>0</v>
      </c>
      <c r="G264" s="152">
        <v>1375000</v>
      </c>
      <c r="H264" s="152">
        <v>1375000</v>
      </c>
      <c r="I264" s="152">
        <v>1375000</v>
      </c>
      <c r="J264" s="152">
        <v>1375000</v>
      </c>
      <c r="K264" s="152">
        <v>1375000</v>
      </c>
      <c r="L264" s="152">
        <v>1375000</v>
      </c>
      <c r="M264" s="150" t="s">
        <v>252</v>
      </c>
      <c r="N264" s="154">
        <v>1</v>
      </c>
      <c r="O264" s="156">
        <v>10</v>
      </c>
      <c r="P264" s="151" t="s">
        <v>253</v>
      </c>
      <c r="Q264" s="154">
        <v>0</v>
      </c>
      <c r="R264" s="156">
        <v>0</v>
      </c>
      <c r="S264" s="151" t="s">
        <v>83</v>
      </c>
      <c r="T264" s="150" t="s">
        <v>266</v>
      </c>
      <c r="U264" s="150" t="s">
        <v>328</v>
      </c>
      <c r="V264" s="151" t="s">
        <v>432</v>
      </c>
      <c r="W264" s="151"/>
      <c r="X264" s="159">
        <v>44771</v>
      </c>
      <c r="Y264" s="151">
        <v>2022</v>
      </c>
      <c r="Z264" s="151">
        <v>7</v>
      </c>
      <c r="AA264" s="151">
        <v>29</v>
      </c>
    </row>
    <row r="265" spans="1:27" x14ac:dyDescent="0.55000000000000004">
      <c r="A265" s="151">
        <v>297</v>
      </c>
      <c r="B265" s="150"/>
      <c r="C265" s="152">
        <v>1463000</v>
      </c>
      <c r="D265" s="152">
        <v>1463000</v>
      </c>
      <c r="E265" s="152">
        <v>1463000</v>
      </c>
      <c r="F265" s="152">
        <v>0</v>
      </c>
      <c r="G265" s="152">
        <v>1463000</v>
      </c>
      <c r="H265" s="152">
        <v>1463000</v>
      </c>
      <c r="I265" s="152">
        <v>1463000</v>
      </c>
      <c r="J265" s="152">
        <v>1463000</v>
      </c>
      <c r="K265" s="152">
        <v>1463000</v>
      </c>
      <c r="L265" s="152">
        <v>1463000</v>
      </c>
      <c r="M265" s="150" t="s">
        <v>252</v>
      </c>
      <c r="N265" s="154">
        <v>1</v>
      </c>
      <c r="O265" s="156">
        <v>28</v>
      </c>
      <c r="P265" s="151" t="s">
        <v>253</v>
      </c>
      <c r="Q265" s="154">
        <v>0</v>
      </c>
      <c r="R265" s="156">
        <v>0</v>
      </c>
      <c r="S265" s="151" t="s">
        <v>83</v>
      </c>
      <c r="T265" s="150" t="s">
        <v>266</v>
      </c>
      <c r="U265" s="150" t="s">
        <v>421</v>
      </c>
      <c r="V265" s="151" t="s">
        <v>432</v>
      </c>
      <c r="W265" s="151"/>
      <c r="X265" s="159">
        <v>44771</v>
      </c>
      <c r="Y265" s="151">
        <v>2022</v>
      </c>
      <c r="Z265" s="151">
        <v>7</v>
      </c>
      <c r="AA265" s="151">
        <v>29</v>
      </c>
    </row>
    <row r="266" spans="1:27" x14ac:dyDescent="0.55000000000000004">
      <c r="A266" s="151">
        <v>298</v>
      </c>
      <c r="B266" s="150"/>
      <c r="C266" s="152">
        <v>1460000</v>
      </c>
      <c r="D266" s="152">
        <v>1460000</v>
      </c>
      <c r="E266" s="152">
        <v>1460800</v>
      </c>
      <c r="F266" s="152">
        <v>0</v>
      </c>
      <c r="G266" s="152">
        <v>1460800</v>
      </c>
      <c r="H266" s="152">
        <v>1460800</v>
      </c>
      <c r="I266" s="152">
        <v>1460800</v>
      </c>
      <c r="J266" s="152">
        <v>1460800</v>
      </c>
      <c r="K266" s="152">
        <v>1460800</v>
      </c>
      <c r="L266" s="152">
        <v>1460000</v>
      </c>
      <c r="M266" s="150" t="s">
        <v>252</v>
      </c>
      <c r="N266" s="154">
        <v>1</v>
      </c>
      <c r="O266" s="156">
        <v>10</v>
      </c>
      <c r="P266" s="151" t="s">
        <v>253</v>
      </c>
      <c r="Q266" s="154">
        <v>0</v>
      </c>
      <c r="R266" s="156">
        <v>0</v>
      </c>
      <c r="S266" s="151" t="s">
        <v>83</v>
      </c>
      <c r="T266" s="150" t="s">
        <v>311</v>
      </c>
      <c r="U266" s="150" t="s">
        <v>422</v>
      </c>
      <c r="V266" s="151" t="s">
        <v>432</v>
      </c>
      <c r="W266" s="151"/>
      <c r="X266" s="159">
        <v>44771</v>
      </c>
      <c r="Y266" s="151">
        <v>2022</v>
      </c>
      <c r="Z266" s="151">
        <v>7</v>
      </c>
      <c r="AA266" s="151">
        <v>29</v>
      </c>
    </row>
    <row r="267" spans="1:27" x14ac:dyDescent="0.55000000000000004">
      <c r="A267" s="151">
        <v>299</v>
      </c>
      <c r="B267" s="150"/>
      <c r="C267" s="152">
        <v>1232000</v>
      </c>
      <c r="D267" s="152">
        <v>1232000</v>
      </c>
      <c r="E267" s="152">
        <v>1232000</v>
      </c>
      <c r="F267" s="152">
        <v>0</v>
      </c>
      <c r="G267" s="152">
        <v>1232000</v>
      </c>
      <c r="H267" s="152">
        <v>1232000</v>
      </c>
      <c r="I267" s="152">
        <v>1232000</v>
      </c>
      <c r="J267" s="152">
        <v>1232000</v>
      </c>
      <c r="K267" s="152">
        <v>1232000</v>
      </c>
      <c r="L267" s="152">
        <v>1232000</v>
      </c>
      <c r="M267" s="150" t="s">
        <v>252</v>
      </c>
      <c r="N267" s="154">
        <v>1</v>
      </c>
      <c r="O267" s="156">
        <v>30</v>
      </c>
      <c r="P267" s="151" t="s">
        <v>253</v>
      </c>
      <c r="Q267" s="154">
        <v>0</v>
      </c>
      <c r="R267" s="156">
        <v>0</v>
      </c>
      <c r="S267" s="151" t="s">
        <v>83</v>
      </c>
      <c r="T267" s="150" t="s">
        <v>266</v>
      </c>
      <c r="U267" s="150" t="s">
        <v>267</v>
      </c>
      <c r="V267" s="151" t="s">
        <v>432</v>
      </c>
      <c r="W267" s="151"/>
      <c r="X267" s="159">
        <v>44771</v>
      </c>
      <c r="Y267" s="151">
        <v>2022</v>
      </c>
      <c r="Z267" s="151">
        <v>7</v>
      </c>
      <c r="AA267" s="151">
        <v>29</v>
      </c>
    </row>
    <row r="268" spans="1:27" x14ac:dyDescent="0.55000000000000004">
      <c r="A268" s="151">
        <v>300</v>
      </c>
      <c r="B268" s="150"/>
      <c r="C268" s="152">
        <v>1497000</v>
      </c>
      <c r="D268" s="152">
        <v>1497000</v>
      </c>
      <c r="E268" s="152">
        <v>1497376</v>
      </c>
      <c r="F268" s="152">
        <v>0</v>
      </c>
      <c r="G268" s="152">
        <v>1497376</v>
      </c>
      <c r="H268" s="152">
        <v>1497376</v>
      </c>
      <c r="I268" s="152">
        <v>1497376</v>
      </c>
      <c r="J268" s="152">
        <v>1497376</v>
      </c>
      <c r="K268" s="152">
        <v>1497376</v>
      </c>
      <c r="L268" s="152">
        <v>1497000</v>
      </c>
      <c r="M268" s="150" t="s">
        <v>252</v>
      </c>
      <c r="N268" s="154">
        <v>1</v>
      </c>
      <c r="O268" s="156">
        <v>5</v>
      </c>
      <c r="P268" s="151" t="s">
        <v>253</v>
      </c>
      <c r="Q268" s="154">
        <v>0</v>
      </c>
      <c r="R268" s="156">
        <v>0</v>
      </c>
      <c r="S268" s="151" t="s">
        <v>83</v>
      </c>
      <c r="T268" s="150" t="s">
        <v>321</v>
      </c>
      <c r="U268" s="150" t="s">
        <v>309</v>
      </c>
      <c r="V268" s="151" t="s">
        <v>432</v>
      </c>
      <c r="W268" s="151"/>
      <c r="X268" s="159">
        <v>44771</v>
      </c>
      <c r="Y268" s="151">
        <v>2022</v>
      </c>
      <c r="Z268" s="151">
        <v>7</v>
      </c>
      <c r="AA268" s="151">
        <v>29</v>
      </c>
    </row>
    <row r="269" spans="1:27" x14ac:dyDescent="0.55000000000000004">
      <c r="A269" s="151">
        <v>301</v>
      </c>
      <c r="B269" s="150"/>
      <c r="C269" s="152">
        <v>1539000</v>
      </c>
      <c r="D269" s="152">
        <v>1539000</v>
      </c>
      <c r="E269" s="152">
        <v>1539986</v>
      </c>
      <c r="F269" s="152">
        <v>0</v>
      </c>
      <c r="G269" s="152">
        <v>1539986</v>
      </c>
      <c r="H269" s="152">
        <v>1539986</v>
      </c>
      <c r="I269" s="152">
        <v>1539986</v>
      </c>
      <c r="J269" s="152">
        <v>1539986</v>
      </c>
      <c r="K269" s="152">
        <v>1539986</v>
      </c>
      <c r="L269" s="152">
        <v>1539000</v>
      </c>
      <c r="M269" s="150" t="s">
        <v>269</v>
      </c>
      <c r="N269" s="154">
        <v>1</v>
      </c>
      <c r="O269" s="156">
        <v>2</v>
      </c>
      <c r="P269" s="151" t="s">
        <v>253</v>
      </c>
      <c r="Q269" s="154">
        <v>0</v>
      </c>
      <c r="R269" s="156">
        <v>0</v>
      </c>
      <c r="S269" s="151" t="s">
        <v>83</v>
      </c>
      <c r="T269" s="150" t="s">
        <v>254</v>
      </c>
      <c r="U269" s="150" t="s">
        <v>360</v>
      </c>
      <c r="V269" s="151" t="s">
        <v>432</v>
      </c>
      <c r="W269" s="151"/>
      <c r="X269" s="159">
        <v>44771</v>
      </c>
      <c r="Y269" s="151">
        <v>2022</v>
      </c>
      <c r="Z269" s="151">
        <v>7</v>
      </c>
      <c r="AA269" s="151">
        <v>29</v>
      </c>
    </row>
    <row r="270" spans="1:27" x14ac:dyDescent="0.55000000000000004">
      <c r="A270" s="151">
        <v>302</v>
      </c>
      <c r="B270" s="150"/>
      <c r="C270" s="152">
        <v>1430000</v>
      </c>
      <c r="D270" s="152">
        <v>1430000</v>
      </c>
      <c r="E270" s="152">
        <v>1430000</v>
      </c>
      <c r="F270" s="152">
        <v>0</v>
      </c>
      <c r="G270" s="152">
        <v>1430000</v>
      </c>
      <c r="H270" s="152">
        <v>1430000</v>
      </c>
      <c r="I270" s="152">
        <v>1430000</v>
      </c>
      <c r="J270" s="152">
        <v>1430000</v>
      </c>
      <c r="K270" s="152">
        <v>1430000</v>
      </c>
      <c r="L270" s="152">
        <v>1430000</v>
      </c>
      <c r="M270" s="150" t="s">
        <v>252</v>
      </c>
      <c r="N270" s="154">
        <v>1</v>
      </c>
      <c r="O270" s="156">
        <v>15</v>
      </c>
      <c r="P270" s="151" t="s">
        <v>253</v>
      </c>
      <c r="Q270" s="154">
        <v>0</v>
      </c>
      <c r="R270" s="156">
        <v>0</v>
      </c>
      <c r="S270" s="151" t="s">
        <v>83</v>
      </c>
      <c r="T270" s="150" t="s">
        <v>266</v>
      </c>
      <c r="U270" s="150" t="s">
        <v>367</v>
      </c>
      <c r="V270" s="151" t="s">
        <v>432</v>
      </c>
      <c r="W270" s="151"/>
      <c r="X270" s="159">
        <v>44771</v>
      </c>
      <c r="Y270" s="151">
        <v>2022</v>
      </c>
      <c r="Z270" s="151">
        <v>7</v>
      </c>
      <c r="AA270" s="151">
        <v>29</v>
      </c>
    </row>
    <row r="271" spans="1:27" x14ac:dyDescent="0.55000000000000004">
      <c r="A271" s="151">
        <v>303</v>
      </c>
      <c r="B271" s="150"/>
      <c r="C271" s="152">
        <v>1460000</v>
      </c>
      <c r="D271" s="152">
        <v>1460000</v>
      </c>
      <c r="E271" s="152">
        <v>1460800</v>
      </c>
      <c r="F271" s="152">
        <v>0</v>
      </c>
      <c r="G271" s="152">
        <v>1460800</v>
      </c>
      <c r="H271" s="152">
        <v>1460800</v>
      </c>
      <c r="I271" s="152">
        <v>1460800</v>
      </c>
      <c r="J271" s="152">
        <v>1460800</v>
      </c>
      <c r="K271" s="152">
        <v>1460800</v>
      </c>
      <c r="L271" s="152">
        <v>1460000</v>
      </c>
      <c r="M271" s="150" t="s">
        <v>252</v>
      </c>
      <c r="N271" s="154">
        <v>1</v>
      </c>
      <c r="O271" s="156">
        <v>8</v>
      </c>
      <c r="P271" s="151" t="s">
        <v>253</v>
      </c>
      <c r="Q271" s="154">
        <v>0</v>
      </c>
      <c r="R271" s="156">
        <v>0</v>
      </c>
      <c r="S271" s="151" t="s">
        <v>83</v>
      </c>
      <c r="T271" s="150" t="s">
        <v>260</v>
      </c>
      <c r="U271" s="150" t="s">
        <v>423</v>
      </c>
      <c r="V271" s="151" t="s">
        <v>432</v>
      </c>
      <c r="W271" s="151"/>
      <c r="X271" s="159">
        <v>44771</v>
      </c>
      <c r="Y271" s="151">
        <v>2022</v>
      </c>
      <c r="Z271" s="151">
        <v>7</v>
      </c>
      <c r="AA271" s="151">
        <v>29</v>
      </c>
    </row>
    <row r="272" spans="1:27" x14ac:dyDescent="0.55000000000000004">
      <c r="A272" s="151">
        <v>304</v>
      </c>
      <c r="B272" s="150"/>
      <c r="C272" s="152">
        <v>1460000</v>
      </c>
      <c r="D272" s="152">
        <v>1460000</v>
      </c>
      <c r="E272" s="152">
        <v>1460800</v>
      </c>
      <c r="F272" s="152">
        <v>0</v>
      </c>
      <c r="G272" s="152">
        <v>1460800</v>
      </c>
      <c r="H272" s="152">
        <v>1460800</v>
      </c>
      <c r="I272" s="152">
        <v>1460800</v>
      </c>
      <c r="J272" s="152">
        <v>1460800</v>
      </c>
      <c r="K272" s="152">
        <v>1460800</v>
      </c>
      <c r="L272" s="152">
        <v>1460000</v>
      </c>
      <c r="M272" s="150" t="s">
        <v>252</v>
      </c>
      <c r="N272" s="154">
        <v>1</v>
      </c>
      <c r="O272" s="156">
        <v>10</v>
      </c>
      <c r="P272" s="151" t="s">
        <v>253</v>
      </c>
      <c r="Q272" s="154">
        <v>0</v>
      </c>
      <c r="R272" s="156">
        <v>0</v>
      </c>
      <c r="S272" s="151" t="s">
        <v>83</v>
      </c>
      <c r="T272" s="150" t="s">
        <v>254</v>
      </c>
      <c r="U272" s="150" t="s">
        <v>286</v>
      </c>
      <c r="V272" s="151" t="s">
        <v>432</v>
      </c>
      <c r="W272" s="151"/>
      <c r="X272" s="159">
        <v>44771</v>
      </c>
      <c r="Y272" s="151">
        <v>2022</v>
      </c>
      <c r="Z272" s="151">
        <v>7</v>
      </c>
      <c r="AA272" s="151">
        <v>29</v>
      </c>
    </row>
    <row r="273" spans="1:27" x14ac:dyDescent="0.55000000000000004">
      <c r="A273" s="151">
        <v>305</v>
      </c>
      <c r="B273" s="150"/>
      <c r="C273" s="152">
        <v>1496000</v>
      </c>
      <c r="D273" s="152">
        <v>1496000</v>
      </c>
      <c r="E273" s="152">
        <v>1496000</v>
      </c>
      <c r="F273" s="152">
        <v>0</v>
      </c>
      <c r="G273" s="152">
        <v>1496000</v>
      </c>
      <c r="H273" s="152">
        <v>1496000</v>
      </c>
      <c r="I273" s="152">
        <v>1496000</v>
      </c>
      <c r="J273" s="152">
        <v>1496000</v>
      </c>
      <c r="K273" s="152">
        <v>1496000</v>
      </c>
      <c r="L273" s="152">
        <v>1496000</v>
      </c>
      <c r="M273" s="150" t="s">
        <v>252</v>
      </c>
      <c r="N273" s="154">
        <v>1</v>
      </c>
      <c r="O273" s="156">
        <v>10</v>
      </c>
      <c r="P273" s="151" t="s">
        <v>253</v>
      </c>
      <c r="Q273" s="154">
        <v>0</v>
      </c>
      <c r="R273" s="156">
        <v>0</v>
      </c>
      <c r="S273" s="151" t="s">
        <v>83</v>
      </c>
      <c r="T273" s="150" t="s">
        <v>283</v>
      </c>
      <c r="U273" s="150" t="s">
        <v>424</v>
      </c>
      <c r="V273" s="151" t="s">
        <v>432</v>
      </c>
      <c r="W273" s="151"/>
      <c r="X273" s="159">
        <v>44771</v>
      </c>
      <c r="Y273" s="151">
        <v>2022</v>
      </c>
      <c r="Z273" s="151">
        <v>7</v>
      </c>
      <c r="AA273" s="151">
        <v>29</v>
      </c>
    </row>
    <row r="274" spans="1:27" x14ac:dyDescent="0.55000000000000004">
      <c r="A274" s="151">
        <v>306</v>
      </c>
      <c r="B274" s="150"/>
      <c r="C274" s="152">
        <v>1430000</v>
      </c>
      <c r="D274" s="152">
        <v>1430000</v>
      </c>
      <c r="E274" s="152">
        <v>1430000</v>
      </c>
      <c r="F274" s="152">
        <v>0</v>
      </c>
      <c r="G274" s="152">
        <v>1430000</v>
      </c>
      <c r="H274" s="152">
        <v>1430000</v>
      </c>
      <c r="I274" s="152">
        <v>1430000</v>
      </c>
      <c r="J274" s="152">
        <v>1430000</v>
      </c>
      <c r="K274" s="152">
        <v>1430000</v>
      </c>
      <c r="L274" s="152">
        <v>1430000</v>
      </c>
      <c r="M274" s="150" t="s">
        <v>252</v>
      </c>
      <c r="N274" s="154">
        <v>1</v>
      </c>
      <c r="O274" s="156">
        <v>15</v>
      </c>
      <c r="P274" s="151" t="s">
        <v>253</v>
      </c>
      <c r="Q274" s="154">
        <v>0</v>
      </c>
      <c r="R274" s="156">
        <v>0</v>
      </c>
      <c r="S274" s="151" t="s">
        <v>83</v>
      </c>
      <c r="T274" s="150" t="s">
        <v>266</v>
      </c>
      <c r="U274" s="150" t="s">
        <v>301</v>
      </c>
      <c r="V274" s="151" t="s">
        <v>432</v>
      </c>
      <c r="W274" s="151"/>
      <c r="X274" s="159">
        <v>44771</v>
      </c>
      <c r="Y274" s="151">
        <v>2022</v>
      </c>
      <c r="Z274" s="151">
        <v>7</v>
      </c>
      <c r="AA274" s="151">
        <v>29</v>
      </c>
    </row>
    <row r="275" spans="1:27" x14ac:dyDescent="0.55000000000000004">
      <c r="A275" s="151">
        <v>307</v>
      </c>
      <c r="B275" s="150"/>
      <c r="C275" s="152">
        <v>1540000</v>
      </c>
      <c r="D275" s="152">
        <v>1540000</v>
      </c>
      <c r="E275" s="152">
        <v>1540000</v>
      </c>
      <c r="F275" s="152">
        <v>0</v>
      </c>
      <c r="G275" s="152">
        <v>1540000</v>
      </c>
      <c r="H275" s="152">
        <v>1540000</v>
      </c>
      <c r="I275" s="152">
        <v>1540000</v>
      </c>
      <c r="J275" s="152">
        <v>1540000</v>
      </c>
      <c r="K275" s="152">
        <v>1540000</v>
      </c>
      <c r="L275" s="152">
        <v>1540000</v>
      </c>
      <c r="M275" s="150" t="s">
        <v>269</v>
      </c>
      <c r="N275" s="154">
        <v>1</v>
      </c>
      <c r="O275" s="156">
        <v>15</v>
      </c>
      <c r="P275" s="151" t="s">
        <v>253</v>
      </c>
      <c r="Q275" s="154">
        <v>0</v>
      </c>
      <c r="R275" s="156">
        <v>0</v>
      </c>
      <c r="S275" s="151" t="s">
        <v>83</v>
      </c>
      <c r="T275" s="150" t="s">
        <v>254</v>
      </c>
      <c r="U275" s="150" t="s">
        <v>255</v>
      </c>
      <c r="V275" s="151" t="s">
        <v>432</v>
      </c>
      <c r="W275" s="151"/>
      <c r="X275" s="159">
        <v>44771</v>
      </c>
      <c r="Y275" s="151">
        <v>2022</v>
      </c>
      <c r="Z275" s="151">
        <v>7</v>
      </c>
      <c r="AA275" s="151">
        <v>29</v>
      </c>
    </row>
    <row r="276" spans="1:27" x14ac:dyDescent="0.55000000000000004">
      <c r="A276" s="151">
        <v>308</v>
      </c>
      <c r="B276" s="150"/>
      <c r="C276" s="152">
        <v>1603000</v>
      </c>
      <c r="D276" s="152">
        <v>1603000</v>
      </c>
      <c r="E276" s="152">
        <v>1603410</v>
      </c>
      <c r="F276" s="152">
        <v>0</v>
      </c>
      <c r="G276" s="152">
        <v>1603410</v>
      </c>
      <c r="H276" s="152">
        <v>1603410</v>
      </c>
      <c r="I276" s="152">
        <v>1603410</v>
      </c>
      <c r="J276" s="152">
        <v>1603410</v>
      </c>
      <c r="K276" s="152">
        <v>1603410</v>
      </c>
      <c r="L276" s="152">
        <v>1603000</v>
      </c>
      <c r="M276" s="150" t="s">
        <v>252</v>
      </c>
      <c r="N276" s="154">
        <v>1</v>
      </c>
      <c r="O276" s="156">
        <v>3</v>
      </c>
      <c r="P276" s="151" t="s">
        <v>253</v>
      </c>
      <c r="Q276" s="154">
        <v>0</v>
      </c>
      <c r="R276" s="156">
        <v>0</v>
      </c>
      <c r="S276" s="151" t="s">
        <v>83</v>
      </c>
      <c r="T276" s="150" t="s">
        <v>283</v>
      </c>
      <c r="U276" s="150" t="s">
        <v>284</v>
      </c>
      <c r="V276" s="151" t="s">
        <v>432</v>
      </c>
      <c r="W276" s="151"/>
      <c r="X276" s="159">
        <v>44771</v>
      </c>
      <c r="Y276" s="151">
        <v>2022</v>
      </c>
      <c r="Z276" s="151">
        <v>7</v>
      </c>
      <c r="AA276" s="151">
        <v>29</v>
      </c>
    </row>
    <row r="277" spans="1:27" x14ac:dyDescent="0.55000000000000004">
      <c r="A277" s="151">
        <v>309</v>
      </c>
      <c r="B277" s="150"/>
      <c r="C277" s="152">
        <v>1460000</v>
      </c>
      <c r="D277" s="152">
        <v>1460000</v>
      </c>
      <c r="E277" s="152">
        <v>1460800</v>
      </c>
      <c r="F277" s="152">
        <v>0</v>
      </c>
      <c r="G277" s="152">
        <v>1460800</v>
      </c>
      <c r="H277" s="152">
        <v>1460800</v>
      </c>
      <c r="I277" s="152">
        <v>1460800</v>
      </c>
      <c r="J277" s="152">
        <v>1460800</v>
      </c>
      <c r="K277" s="152">
        <v>1460800</v>
      </c>
      <c r="L277" s="152">
        <v>1460000</v>
      </c>
      <c r="M277" s="150" t="s">
        <v>252</v>
      </c>
      <c r="N277" s="154">
        <v>1</v>
      </c>
      <c r="O277" s="156">
        <v>10</v>
      </c>
      <c r="P277" s="151" t="s">
        <v>253</v>
      </c>
      <c r="Q277" s="154">
        <v>0</v>
      </c>
      <c r="R277" s="156">
        <v>0</v>
      </c>
      <c r="S277" s="151" t="s">
        <v>83</v>
      </c>
      <c r="T277" s="150" t="s">
        <v>266</v>
      </c>
      <c r="U277" s="150" t="s">
        <v>292</v>
      </c>
      <c r="V277" s="151" t="s">
        <v>432</v>
      </c>
      <c r="W277" s="151"/>
      <c r="X277" s="159">
        <v>44771</v>
      </c>
      <c r="Y277" s="151">
        <v>2022</v>
      </c>
      <c r="Z277" s="151">
        <v>7</v>
      </c>
      <c r="AA277" s="151">
        <v>29</v>
      </c>
    </row>
    <row r="278" spans="1:27" x14ac:dyDescent="0.55000000000000004">
      <c r="A278" s="151">
        <v>310</v>
      </c>
      <c r="B278" s="150"/>
      <c r="C278" s="152">
        <v>1232000</v>
      </c>
      <c r="D278" s="152">
        <v>1232000</v>
      </c>
      <c r="E278" s="152">
        <v>1232000</v>
      </c>
      <c r="F278" s="152">
        <v>0</v>
      </c>
      <c r="G278" s="152">
        <v>1232000</v>
      </c>
      <c r="H278" s="152">
        <v>0</v>
      </c>
      <c r="I278" s="152">
        <v>1232000</v>
      </c>
      <c r="J278" s="152">
        <v>1232000</v>
      </c>
      <c r="K278" s="152">
        <v>1232000</v>
      </c>
      <c r="L278" s="152">
        <v>1232000</v>
      </c>
      <c r="M278" s="150" t="s">
        <v>269</v>
      </c>
      <c r="N278" s="154">
        <v>1</v>
      </c>
      <c r="O278" s="156">
        <v>30</v>
      </c>
      <c r="P278" s="151" t="s">
        <v>253</v>
      </c>
      <c r="Q278" s="154">
        <v>0</v>
      </c>
      <c r="R278" s="156">
        <v>0</v>
      </c>
      <c r="S278" s="151" t="s">
        <v>83</v>
      </c>
      <c r="T278" s="150" t="s">
        <v>266</v>
      </c>
      <c r="U278" s="150" t="s">
        <v>267</v>
      </c>
      <c r="V278" s="151" t="s">
        <v>432</v>
      </c>
      <c r="W278" s="151"/>
      <c r="X278" s="159">
        <v>44771</v>
      </c>
      <c r="Y278" s="151">
        <v>2022</v>
      </c>
      <c r="Z278" s="151">
        <v>7</v>
      </c>
      <c r="AA278" s="151">
        <v>29</v>
      </c>
    </row>
    <row r="279" spans="1:27" x14ac:dyDescent="0.55000000000000004">
      <c r="A279" s="151">
        <v>311</v>
      </c>
      <c r="B279" s="150"/>
      <c r="C279" s="152">
        <v>1570000</v>
      </c>
      <c r="D279" s="152">
        <v>1570000</v>
      </c>
      <c r="E279" s="152">
        <v>1570625</v>
      </c>
      <c r="F279" s="152">
        <v>0</v>
      </c>
      <c r="G279" s="152">
        <v>1570625</v>
      </c>
      <c r="H279" s="152">
        <v>1570625</v>
      </c>
      <c r="I279" s="152">
        <v>1570625</v>
      </c>
      <c r="J279" s="152">
        <v>1570625</v>
      </c>
      <c r="K279" s="152">
        <v>1570625</v>
      </c>
      <c r="L279" s="152">
        <v>1570000</v>
      </c>
      <c r="M279" s="150" t="s">
        <v>269</v>
      </c>
      <c r="N279" s="154">
        <v>1</v>
      </c>
      <c r="O279" s="156">
        <v>20</v>
      </c>
      <c r="P279" s="151" t="s">
        <v>253</v>
      </c>
      <c r="Q279" s="154">
        <v>0</v>
      </c>
      <c r="R279" s="156">
        <v>0</v>
      </c>
      <c r="S279" s="151" t="s">
        <v>83</v>
      </c>
      <c r="T279" s="150" t="s">
        <v>256</v>
      </c>
      <c r="U279" s="150" t="s">
        <v>282</v>
      </c>
      <c r="V279" s="151" t="s">
        <v>432</v>
      </c>
      <c r="W279" s="151"/>
      <c r="X279" s="159">
        <v>44771</v>
      </c>
      <c r="Y279" s="151">
        <v>2022</v>
      </c>
      <c r="Z279" s="151">
        <v>7</v>
      </c>
      <c r="AA279" s="151">
        <v>29</v>
      </c>
    </row>
    <row r="280" spans="1:27" x14ac:dyDescent="0.55000000000000004">
      <c r="A280" s="151">
        <v>312</v>
      </c>
      <c r="B280" s="150"/>
      <c r="C280" s="152">
        <v>1463000</v>
      </c>
      <c r="D280" s="152">
        <v>1463000</v>
      </c>
      <c r="E280" s="152">
        <v>1463688</v>
      </c>
      <c r="F280" s="152">
        <v>0</v>
      </c>
      <c r="G280" s="152">
        <v>1463688</v>
      </c>
      <c r="H280" s="152">
        <v>1463688</v>
      </c>
      <c r="I280" s="152">
        <v>1463688</v>
      </c>
      <c r="J280" s="152">
        <v>1463688</v>
      </c>
      <c r="K280" s="152">
        <v>1463688</v>
      </c>
      <c r="L280" s="152">
        <v>1463000</v>
      </c>
      <c r="M280" s="150" t="s">
        <v>252</v>
      </c>
      <c r="N280" s="154">
        <v>1</v>
      </c>
      <c r="O280" s="156">
        <v>6</v>
      </c>
      <c r="P280" s="151" t="s">
        <v>253</v>
      </c>
      <c r="Q280" s="154">
        <v>0</v>
      </c>
      <c r="R280" s="156">
        <v>0</v>
      </c>
      <c r="S280" s="151" t="s">
        <v>83</v>
      </c>
      <c r="T280" s="150" t="s">
        <v>283</v>
      </c>
      <c r="U280" s="150" t="s">
        <v>360</v>
      </c>
      <c r="V280" s="151" t="s">
        <v>432</v>
      </c>
      <c r="W280" s="151"/>
      <c r="X280" s="159">
        <v>44771</v>
      </c>
      <c r="Y280" s="151">
        <v>2022</v>
      </c>
      <c r="Z280" s="151">
        <v>7</v>
      </c>
      <c r="AA280" s="151">
        <v>29</v>
      </c>
    </row>
    <row r="281" spans="1:27" x14ac:dyDescent="0.55000000000000004">
      <c r="A281" s="151">
        <v>313</v>
      </c>
      <c r="B281" s="150"/>
      <c r="C281" s="152">
        <v>1430000</v>
      </c>
      <c r="D281" s="152">
        <v>1430000</v>
      </c>
      <c r="E281" s="152">
        <v>1430000</v>
      </c>
      <c r="F281" s="152">
        <v>0</v>
      </c>
      <c r="G281" s="152">
        <v>1430000</v>
      </c>
      <c r="H281" s="152">
        <v>1430000</v>
      </c>
      <c r="I281" s="152">
        <v>1430000</v>
      </c>
      <c r="J281" s="152">
        <v>1430000</v>
      </c>
      <c r="K281" s="152">
        <v>1430000</v>
      </c>
      <c r="L281" s="152">
        <v>1430000</v>
      </c>
      <c r="M281" s="150" t="s">
        <v>252</v>
      </c>
      <c r="N281" s="154">
        <v>1</v>
      </c>
      <c r="O281" s="156">
        <v>4</v>
      </c>
      <c r="P281" s="151" t="s">
        <v>253</v>
      </c>
      <c r="Q281" s="154">
        <v>0</v>
      </c>
      <c r="R281" s="156">
        <v>0</v>
      </c>
      <c r="S281" s="151" t="s">
        <v>83</v>
      </c>
      <c r="T281" s="150" t="s">
        <v>379</v>
      </c>
      <c r="U281" s="150" t="s">
        <v>425</v>
      </c>
      <c r="V281" s="151" t="s">
        <v>432</v>
      </c>
      <c r="W281" s="151"/>
      <c r="X281" s="159">
        <v>44771</v>
      </c>
      <c r="Y281" s="151">
        <v>2022</v>
      </c>
      <c r="Z281" s="151">
        <v>7</v>
      </c>
      <c r="AA281" s="151">
        <v>29</v>
      </c>
    </row>
    <row r="282" spans="1:27" x14ac:dyDescent="0.55000000000000004">
      <c r="A282" s="151">
        <v>314</v>
      </c>
      <c r="B282" s="150"/>
      <c r="C282" s="152">
        <v>1617000</v>
      </c>
      <c r="D282" s="152">
        <v>1617000</v>
      </c>
      <c r="E282" s="152">
        <v>1617000</v>
      </c>
      <c r="F282" s="152">
        <v>0</v>
      </c>
      <c r="G282" s="152">
        <v>1617000</v>
      </c>
      <c r="H282" s="152">
        <v>1617000</v>
      </c>
      <c r="I282" s="152">
        <v>1617000</v>
      </c>
      <c r="J282" s="152">
        <v>1617000</v>
      </c>
      <c r="K282" s="152">
        <v>1617000</v>
      </c>
      <c r="L282" s="152">
        <v>1617000</v>
      </c>
      <c r="M282" s="150" t="s">
        <v>252</v>
      </c>
      <c r="N282" s="154">
        <v>1</v>
      </c>
      <c r="O282" s="156">
        <v>12</v>
      </c>
      <c r="P282" s="151" t="s">
        <v>253</v>
      </c>
      <c r="Q282" s="154">
        <v>0</v>
      </c>
      <c r="R282" s="156">
        <v>0</v>
      </c>
      <c r="S282" s="151" t="s">
        <v>83</v>
      </c>
      <c r="T282" s="150" t="s">
        <v>266</v>
      </c>
      <c r="U282" s="150" t="s">
        <v>426</v>
      </c>
      <c r="V282" s="151" t="s">
        <v>432</v>
      </c>
      <c r="W282" s="151"/>
      <c r="X282" s="159">
        <v>44771</v>
      </c>
      <c r="Y282" s="151">
        <v>2022</v>
      </c>
      <c r="Z282" s="151">
        <v>7</v>
      </c>
      <c r="AA282" s="151">
        <v>29</v>
      </c>
    </row>
    <row r="283" spans="1:27" x14ac:dyDescent="0.55000000000000004">
      <c r="A283" s="151">
        <v>315</v>
      </c>
      <c r="B283" s="150"/>
      <c r="C283" s="152">
        <v>2684000</v>
      </c>
      <c r="D283" s="152">
        <v>2684000</v>
      </c>
      <c r="E283" s="152">
        <v>2684000</v>
      </c>
      <c r="F283" s="152">
        <v>0</v>
      </c>
      <c r="G283" s="152">
        <v>2684000</v>
      </c>
      <c r="H283" s="152">
        <v>2684000</v>
      </c>
      <c r="I283" s="152">
        <v>2684000</v>
      </c>
      <c r="J283" s="152">
        <v>2684000</v>
      </c>
      <c r="K283" s="152">
        <v>2684000</v>
      </c>
      <c r="L283" s="152">
        <v>2684000</v>
      </c>
      <c r="M283" s="150" t="s">
        <v>269</v>
      </c>
      <c r="N283" s="154">
        <v>1</v>
      </c>
      <c r="O283" s="156">
        <v>15</v>
      </c>
      <c r="P283" s="151" t="s">
        <v>253</v>
      </c>
      <c r="Q283" s="154">
        <v>0</v>
      </c>
      <c r="R283" s="156">
        <v>0</v>
      </c>
      <c r="S283" s="151" t="s">
        <v>83</v>
      </c>
      <c r="T283" s="150" t="s">
        <v>266</v>
      </c>
      <c r="U283" s="150" t="s">
        <v>427</v>
      </c>
      <c r="V283" s="151" t="s">
        <v>432</v>
      </c>
      <c r="W283" s="151"/>
      <c r="X283" s="159">
        <v>44771</v>
      </c>
      <c r="Y283" s="151">
        <v>2022</v>
      </c>
      <c r="Z283" s="151">
        <v>7</v>
      </c>
      <c r="AA283" s="151">
        <v>29</v>
      </c>
    </row>
    <row r="284" spans="1:27" x14ac:dyDescent="0.55000000000000004">
      <c r="A284" s="151">
        <v>316</v>
      </c>
      <c r="B284" s="150"/>
      <c r="C284" s="152">
        <v>1430000</v>
      </c>
      <c r="D284" s="152">
        <v>1430000</v>
      </c>
      <c r="E284" s="152">
        <v>1430000</v>
      </c>
      <c r="F284" s="152">
        <v>0</v>
      </c>
      <c r="G284" s="152">
        <v>1430000</v>
      </c>
      <c r="H284" s="152">
        <v>1430000</v>
      </c>
      <c r="I284" s="152">
        <v>1430000</v>
      </c>
      <c r="J284" s="152">
        <v>1430000</v>
      </c>
      <c r="K284" s="152">
        <v>1430000</v>
      </c>
      <c r="L284" s="152">
        <v>1430000</v>
      </c>
      <c r="M284" s="150" t="s">
        <v>252</v>
      </c>
      <c r="N284" s="154">
        <v>1</v>
      </c>
      <c r="O284" s="156">
        <v>20</v>
      </c>
      <c r="P284" s="151" t="s">
        <v>253</v>
      </c>
      <c r="Q284" s="154">
        <v>0</v>
      </c>
      <c r="R284" s="156">
        <v>0</v>
      </c>
      <c r="S284" s="151" t="s">
        <v>83</v>
      </c>
      <c r="T284" s="150" t="s">
        <v>266</v>
      </c>
      <c r="U284" s="150" t="s">
        <v>301</v>
      </c>
      <c r="V284" s="151" t="s">
        <v>432</v>
      </c>
      <c r="W284" s="151"/>
      <c r="X284" s="159">
        <v>44771</v>
      </c>
      <c r="Y284" s="151">
        <v>2022</v>
      </c>
      <c r="Z284" s="151">
        <v>7</v>
      </c>
      <c r="AA284" s="151">
        <v>29</v>
      </c>
    </row>
    <row r="285" spans="1:27" x14ac:dyDescent="0.55000000000000004">
      <c r="A285" s="151">
        <v>317</v>
      </c>
      <c r="B285" s="150"/>
      <c r="C285" s="152">
        <v>1543000</v>
      </c>
      <c r="D285" s="152">
        <v>1543000</v>
      </c>
      <c r="E285" s="152">
        <v>1543300</v>
      </c>
      <c r="F285" s="152">
        <v>0</v>
      </c>
      <c r="G285" s="152">
        <v>1543300</v>
      </c>
      <c r="H285" s="152">
        <v>1543300</v>
      </c>
      <c r="I285" s="152">
        <v>1543300</v>
      </c>
      <c r="J285" s="152">
        <v>1543300</v>
      </c>
      <c r="K285" s="152">
        <v>1543300</v>
      </c>
      <c r="L285" s="152">
        <v>1543000</v>
      </c>
      <c r="M285" s="150" t="s">
        <v>252</v>
      </c>
      <c r="N285" s="154">
        <v>1</v>
      </c>
      <c r="O285" s="156">
        <v>4</v>
      </c>
      <c r="P285" s="151" t="s">
        <v>253</v>
      </c>
      <c r="Q285" s="154">
        <v>0</v>
      </c>
      <c r="R285" s="156">
        <v>0</v>
      </c>
      <c r="S285" s="151" t="s">
        <v>83</v>
      </c>
      <c r="T285" s="150" t="s">
        <v>266</v>
      </c>
      <c r="U285" s="150" t="s">
        <v>339</v>
      </c>
      <c r="V285" s="151" t="s">
        <v>432</v>
      </c>
      <c r="W285" s="151"/>
      <c r="X285" s="159">
        <v>44771</v>
      </c>
      <c r="Y285" s="151">
        <v>2022</v>
      </c>
      <c r="Z285" s="151">
        <v>7</v>
      </c>
      <c r="AA285" s="151">
        <v>29</v>
      </c>
    </row>
    <row r="286" spans="1:27" x14ac:dyDescent="0.55000000000000004">
      <c r="A286" s="151">
        <v>319</v>
      </c>
      <c r="B286" s="150"/>
      <c r="C286" s="152">
        <v>1463000</v>
      </c>
      <c r="D286" s="152">
        <v>1463000</v>
      </c>
      <c r="E286" s="152">
        <v>1463688</v>
      </c>
      <c r="F286" s="152">
        <v>0</v>
      </c>
      <c r="G286" s="152">
        <v>1463688</v>
      </c>
      <c r="H286" s="152">
        <v>1463688</v>
      </c>
      <c r="I286" s="152">
        <v>1463688</v>
      </c>
      <c r="J286" s="152">
        <v>1463688</v>
      </c>
      <c r="K286" s="152">
        <v>1463688</v>
      </c>
      <c r="L286" s="152">
        <v>1463000</v>
      </c>
      <c r="M286" s="150" t="s">
        <v>252</v>
      </c>
      <c r="N286" s="154">
        <v>1</v>
      </c>
      <c r="O286" s="156">
        <v>10</v>
      </c>
      <c r="P286" s="151" t="s">
        <v>253</v>
      </c>
      <c r="Q286" s="154">
        <v>0</v>
      </c>
      <c r="R286" s="156">
        <v>0</v>
      </c>
      <c r="S286" s="151" t="s">
        <v>83</v>
      </c>
      <c r="T286" s="150" t="s">
        <v>318</v>
      </c>
      <c r="U286" s="150" t="s">
        <v>428</v>
      </c>
      <c r="V286" s="151" t="s">
        <v>432</v>
      </c>
      <c r="W286" s="151"/>
      <c r="X286" s="159">
        <v>44771</v>
      </c>
      <c r="Y286" s="151">
        <v>2022</v>
      </c>
      <c r="Z286" s="151">
        <v>7</v>
      </c>
      <c r="AA286" s="151">
        <v>29</v>
      </c>
    </row>
    <row r="287" spans="1:27" x14ac:dyDescent="0.55000000000000004">
      <c r="A287" s="151">
        <v>320</v>
      </c>
      <c r="B287" s="150"/>
      <c r="C287" s="152">
        <v>1485000</v>
      </c>
      <c r="D287" s="152">
        <v>1485000</v>
      </c>
      <c r="E287" s="152">
        <v>1485000</v>
      </c>
      <c r="F287" s="152">
        <v>0</v>
      </c>
      <c r="G287" s="152">
        <v>1485000</v>
      </c>
      <c r="H287" s="152">
        <v>1485000</v>
      </c>
      <c r="I287" s="152">
        <v>1485000</v>
      </c>
      <c r="J287" s="152">
        <v>1485000</v>
      </c>
      <c r="K287" s="152">
        <v>1485000</v>
      </c>
      <c r="L287" s="152">
        <v>1485000</v>
      </c>
      <c r="M287" s="150" t="s">
        <v>252</v>
      </c>
      <c r="N287" s="154">
        <v>1</v>
      </c>
      <c r="O287" s="156">
        <v>10</v>
      </c>
      <c r="P287" s="151" t="s">
        <v>253</v>
      </c>
      <c r="Q287" s="154">
        <v>0</v>
      </c>
      <c r="R287" s="156">
        <v>0</v>
      </c>
      <c r="S287" s="151" t="s">
        <v>83</v>
      </c>
      <c r="T287" s="150" t="s">
        <v>260</v>
      </c>
      <c r="U287" s="150" t="s">
        <v>330</v>
      </c>
      <c r="V287" s="151" t="s">
        <v>432</v>
      </c>
      <c r="W287" s="151"/>
      <c r="X287" s="159">
        <v>44771</v>
      </c>
      <c r="Y287" s="151">
        <v>2022</v>
      </c>
      <c r="Z287" s="151">
        <v>7</v>
      </c>
      <c r="AA287" s="151">
        <v>29</v>
      </c>
    </row>
    <row r="288" spans="1:27" x14ac:dyDescent="0.55000000000000004">
      <c r="A288" s="151">
        <v>321</v>
      </c>
      <c r="B288" s="150"/>
      <c r="C288" s="152">
        <v>1485000</v>
      </c>
      <c r="D288" s="152">
        <v>1485000</v>
      </c>
      <c r="E288" s="152">
        <v>1485000</v>
      </c>
      <c r="F288" s="152">
        <v>0</v>
      </c>
      <c r="G288" s="152">
        <v>1485000</v>
      </c>
      <c r="H288" s="152">
        <v>1485000</v>
      </c>
      <c r="I288" s="152">
        <v>1485000</v>
      </c>
      <c r="J288" s="152">
        <v>1485000</v>
      </c>
      <c r="K288" s="152">
        <v>1485000</v>
      </c>
      <c r="L288" s="152">
        <v>1485000</v>
      </c>
      <c r="M288" s="150" t="s">
        <v>252</v>
      </c>
      <c r="N288" s="154">
        <v>1</v>
      </c>
      <c r="O288" s="156">
        <v>10</v>
      </c>
      <c r="P288" s="151" t="s">
        <v>253</v>
      </c>
      <c r="Q288" s="154">
        <v>0</v>
      </c>
      <c r="R288" s="156">
        <v>0</v>
      </c>
      <c r="S288" s="151" t="s">
        <v>83</v>
      </c>
      <c r="T288" s="150" t="s">
        <v>260</v>
      </c>
      <c r="U288" s="150" t="s">
        <v>330</v>
      </c>
      <c r="V288" s="151" t="s">
        <v>432</v>
      </c>
      <c r="W288" s="151"/>
      <c r="X288" s="159">
        <v>44771</v>
      </c>
      <c r="Y288" s="151">
        <v>2022</v>
      </c>
      <c r="Z288" s="151">
        <v>7</v>
      </c>
      <c r="AA288" s="151">
        <v>29</v>
      </c>
    </row>
    <row r="289" spans="1:27" x14ac:dyDescent="0.55000000000000004">
      <c r="A289" s="151">
        <v>322</v>
      </c>
      <c r="B289" s="150"/>
      <c r="C289" s="152">
        <v>1430000</v>
      </c>
      <c r="D289" s="152">
        <v>1430000</v>
      </c>
      <c r="E289" s="152">
        <v>1430000</v>
      </c>
      <c r="F289" s="152">
        <v>0</v>
      </c>
      <c r="G289" s="152">
        <v>1430000</v>
      </c>
      <c r="H289" s="152">
        <v>1430000</v>
      </c>
      <c r="I289" s="152">
        <v>1430000</v>
      </c>
      <c r="J289" s="152">
        <v>1430000</v>
      </c>
      <c r="K289" s="152">
        <v>1430000</v>
      </c>
      <c r="L289" s="152">
        <v>1430000</v>
      </c>
      <c r="M289" s="150" t="s">
        <v>252</v>
      </c>
      <c r="N289" s="154">
        <v>1</v>
      </c>
      <c r="O289" s="156">
        <v>5</v>
      </c>
      <c r="P289" s="151" t="s">
        <v>253</v>
      </c>
      <c r="Q289" s="154">
        <v>0</v>
      </c>
      <c r="R289" s="156">
        <v>0</v>
      </c>
      <c r="S289" s="151" t="s">
        <v>83</v>
      </c>
      <c r="T289" s="150" t="s">
        <v>311</v>
      </c>
      <c r="U289" s="150" t="s">
        <v>302</v>
      </c>
      <c r="V289" s="151" t="s">
        <v>432</v>
      </c>
      <c r="W289" s="151"/>
      <c r="X289" s="159">
        <v>44771</v>
      </c>
      <c r="Y289" s="151">
        <v>2022</v>
      </c>
      <c r="Z289" s="151">
        <v>7</v>
      </c>
      <c r="AA289" s="151">
        <v>29</v>
      </c>
    </row>
    <row r="290" spans="1:27" x14ac:dyDescent="0.55000000000000004">
      <c r="A290" s="151">
        <v>323</v>
      </c>
      <c r="B290" s="150"/>
      <c r="C290" s="152">
        <v>1540000</v>
      </c>
      <c r="D290" s="152">
        <v>1540000</v>
      </c>
      <c r="E290" s="152">
        <v>1540000</v>
      </c>
      <c r="F290" s="152">
        <v>0</v>
      </c>
      <c r="G290" s="152">
        <v>1540000</v>
      </c>
      <c r="H290" s="152">
        <v>1540000</v>
      </c>
      <c r="I290" s="152">
        <v>1540000</v>
      </c>
      <c r="J290" s="152">
        <v>1540000</v>
      </c>
      <c r="K290" s="152">
        <v>1540000</v>
      </c>
      <c r="L290" s="152">
        <v>1540000</v>
      </c>
      <c r="M290" s="150" t="s">
        <v>252</v>
      </c>
      <c r="N290" s="154">
        <v>1</v>
      </c>
      <c r="O290" s="156">
        <v>15</v>
      </c>
      <c r="P290" s="151" t="s">
        <v>253</v>
      </c>
      <c r="Q290" s="154">
        <v>0</v>
      </c>
      <c r="R290" s="156">
        <v>0</v>
      </c>
      <c r="S290" s="151" t="s">
        <v>83</v>
      </c>
      <c r="T290" s="150" t="s">
        <v>266</v>
      </c>
      <c r="U290" s="150" t="s">
        <v>330</v>
      </c>
      <c r="V290" s="151" t="s">
        <v>432</v>
      </c>
      <c r="W290" s="151"/>
      <c r="X290" s="159">
        <v>44771</v>
      </c>
      <c r="Y290" s="151">
        <v>2022</v>
      </c>
      <c r="Z290" s="151">
        <v>7</v>
      </c>
      <c r="AA290" s="151">
        <v>29</v>
      </c>
    </row>
    <row r="291" spans="1:27" x14ac:dyDescent="0.55000000000000004">
      <c r="A291" s="151">
        <v>324</v>
      </c>
      <c r="B291" s="150"/>
      <c r="C291" s="152">
        <v>2037000</v>
      </c>
      <c r="D291" s="152">
        <v>2037000</v>
      </c>
      <c r="E291" s="152">
        <v>2037200</v>
      </c>
      <c r="F291" s="152">
        <v>0</v>
      </c>
      <c r="G291" s="152">
        <v>2037200</v>
      </c>
      <c r="H291" s="152">
        <v>2037200</v>
      </c>
      <c r="I291" s="152">
        <v>2037200</v>
      </c>
      <c r="J291" s="152">
        <v>2037200</v>
      </c>
      <c r="K291" s="152">
        <v>2037200</v>
      </c>
      <c r="L291" s="152">
        <v>2037000</v>
      </c>
      <c r="M291" s="150" t="s">
        <v>269</v>
      </c>
      <c r="N291" s="154">
        <v>1</v>
      </c>
      <c r="O291" s="156">
        <v>128</v>
      </c>
      <c r="P291" s="151" t="s">
        <v>253</v>
      </c>
      <c r="Q291" s="154">
        <v>0</v>
      </c>
      <c r="R291" s="156">
        <v>0</v>
      </c>
      <c r="S291" s="151" t="s">
        <v>83</v>
      </c>
      <c r="T291" s="150" t="s">
        <v>429</v>
      </c>
      <c r="U291" s="150" t="s">
        <v>430</v>
      </c>
      <c r="V291" s="151" t="s">
        <v>432</v>
      </c>
      <c r="W291" s="151"/>
      <c r="X291" s="159">
        <v>44771</v>
      </c>
      <c r="Y291" s="151">
        <v>2022</v>
      </c>
      <c r="Z291" s="151">
        <v>7</v>
      </c>
      <c r="AA291" s="151">
        <v>29</v>
      </c>
    </row>
    <row r="292" spans="1:27" x14ac:dyDescent="0.55000000000000004">
      <c r="A292" s="151">
        <v>325</v>
      </c>
      <c r="B292" s="150"/>
      <c r="C292" s="192">
        <v>10798000</v>
      </c>
      <c r="D292" s="192">
        <v>10798000</v>
      </c>
      <c r="E292" s="192">
        <v>10798000</v>
      </c>
      <c r="F292" s="192">
        <v>0</v>
      </c>
      <c r="G292" s="192">
        <v>10798000</v>
      </c>
      <c r="H292" s="192">
        <v>10798000</v>
      </c>
      <c r="I292" s="192">
        <v>10798000</v>
      </c>
      <c r="J292" s="192">
        <v>10798000</v>
      </c>
      <c r="K292" s="192">
        <v>10798000</v>
      </c>
      <c r="L292" s="192">
        <v>10798000</v>
      </c>
      <c r="M292" s="150" t="s">
        <v>397</v>
      </c>
      <c r="N292" s="154">
        <v>1</v>
      </c>
      <c r="O292" s="156">
        <v>8</v>
      </c>
      <c r="P292" s="151" t="s">
        <v>253</v>
      </c>
      <c r="Q292" s="154">
        <v>0</v>
      </c>
      <c r="R292" s="156">
        <v>0</v>
      </c>
      <c r="S292" s="151" t="s">
        <v>83</v>
      </c>
      <c r="T292" s="150" t="s">
        <v>266</v>
      </c>
      <c r="U292" s="150" t="s">
        <v>301</v>
      </c>
      <c r="V292" s="151" t="s">
        <v>433</v>
      </c>
      <c r="W292" s="151"/>
      <c r="X292" s="195">
        <v>44826</v>
      </c>
      <c r="Y292" s="190">
        <v>2022</v>
      </c>
      <c r="Z292" s="190">
        <v>9</v>
      </c>
      <c r="AA292" s="190">
        <v>22</v>
      </c>
    </row>
    <row r="293" spans="1:27" x14ac:dyDescent="0.55000000000000004">
      <c r="A293" s="151">
        <v>326</v>
      </c>
      <c r="B293" s="150"/>
      <c r="C293" s="152">
        <v>5940000</v>
      </c>
      <c r="D293" s="152">
        <v>5940000</v>
      </c>
      <c r="E293" s="152">
        <v>5940000</v>
      </c>
      <c r="F293" s="152">
        <v>0</v>
      </c>
      <c r="G293" s="152">
        <v>5940000</v>
      </c>
      <c r="H293" s="152">
        <v>5940000</v>
      </c>
      <c r="I293" s="152">
        <v>5940000</v>
      </c>
      <c r="J293" s="152">
        <v>5940000</v>
      </c>
      <c r="K293" s="152">
        <v>5940000</v>
      </c>
      <c r="L293" s="152">
        <v>5940000</v>
      </c>
      <c r="M293" s="150" t="s">
        <v>280</v>
      </c>
      <c r="N293" s="154">
        <v>1</v>
      </c>
      <c r="O293" s="156">
        <v>100</v>
      </c>
      <c r="P293" s="151" t="s">
        <v>253</v>
      </c>
      <c r="Q293" s="154">
        <v>0</v>
      </c>
      <c r="R293" s="156">
        <v>0</v>
      </c>
      <c r="S293" s="151" t="s">
        <v>83</v>
      </c>
      <c r="T293" s="150" t="s">
        <v>333</v>
      </c>
      <c r="U293" s="150" t="s">
        <v>284</v>
      </c>
      <c r="V293" s="151" t="s">
        <v>432</v>
      </c>
      <c r="W293" s="151"/>
      <c r="X293" s="159">
        <v>44771</v>
      </c>
      <c r="Y293" s="151">
        <v>2022</v>
      </c>
      <c r="Z293" s="151">
        <v>7</v>
      </c>
      <c r="AA293" s="151">
        <v>29</v>
      </c>
    </row>
    <row r="294" spans="1:27" x14ac:dyDescent="0.55000000000000004">
      <c r="A294" s="151">
        <v>327</v>
      </c>
      <c r="B294" s="150"/>
      <c r="C294" s="152">
        <v>2927000</v>
      </c>
      <c r="D294" s="152">
        <v>2927000</v>
      </c>
      <c r="E294" s="152">
        <v>2927375</v>
      </c>
      <c r="F294" s="152">
        <v>0</v>
      </c>
      <c r="G294" s="152">
        <v>2927375</v>
      </c>
      <c r="H294" s="152">
        <v>2927375</v>
      </c>
      <c r="I294" s="152">
        <v>2927375</v>
      </c>
      <c r="J294" s="152">
        <v>2927375</v>
      </c>
      <c r="K294" s="152">
        <v>2927375</v>
      </c>
      <c r="L294" s="152">
        <v>2927000</v>
      </c>
      <c r="M294" s="150" t="s">
        <v>252</v>
      </c>
      <c r="N294" s="154">
        <v>2</v>
      </c>
      <c r="O294" s="156">
        <v>24</v>
      </c>
      <c r="P294" s="151" t="s">
        <v>253</v>
      </c>
      <c r="Q294" s="154">
        <v>0</v>
      </c>
      <c r="R294" s="156">
        <v>0</v>
      </c>
      <c r="S294" s="151" t="s">
        <v>83</v>
      </c>
      <c r="T294" s="150" t="s">
        <v>254</v>
      </c>
      <c r="U294" s="150" t="s">
        <v>388</v>
      </c>
      <c r="V294" s="151" t="s">
        <v>432</v>
      </c>
      <c r="W294" s="151"/>
      <c r="X294" s="159">
        <v>44771</v>
      </c>
      <c r="Y294" s="151">
        <v>2022</v>
      </c>
      <c r="Z294" s="151">
        <v>7</v>
      </c>
      <c r="AA294" s="151">
        <v>29</v>
      </c>
    </row>
    <row r="295" spans="1:27" x14ac:dyDescent="0.55000000000000004">
      <c r="A295" s="151">
        <v>328</v>
      </c>
      <c r="B295" s="150"/>
      <c r="C295" s="152">
        <v>1515000</v>
      </c>
      <c r="D295" s="152">
        <v>1515000</v>
      </c>
      <c r="E295" s="152">
        <v>1515800</v>
      </c>
      <c r="F295" s="152">
        <v>0</v>
      </c>
      <c r="G295" s="152">
        <v>1515800</v>
      </c>
      <c r="H295" s="152">
        <v>1515800</v>
      </c>
      <c r="I295" s="152">
        <v>1515800</v>
      </c>
      <c r="J295" s="152">
        <v>1515800</v>
      </c>
      <c r="K295" s="152">
        <v>1515800</v>
      </c>
      <c r="L295" s="152">
        <v>1515000</v>
      </c>
      <c r="M295" s="150" t="s">
        <v>252</v>
      </c>
      <c r="N295" s="154">
        <v>1</v>
      </c>
      <c r="O295" s="156">
        <v>10</v>
      </c>
      <c r="P295" s="151" t="s">
        <v>253</v>
      </c>
      <c r="Q295" s="154">
        <v>0</v>
      </c>
      <c r="R295" s="156">
        <v>0</v>
      </c>
      <c r="S295" s="151" t="s">
        <v>83</v>
      </c>
      <c r="T295" s="150" t="s">
        <v>254</v>
      </c>
      <c r="U295" s="150" t="s">
        <v>359</v>
      </c>
      <c r="V295" s="151" t="s">
        <v>432</v>
      </c>
      <c r="W295" s="151"/>
      <c r="X295" s="159">
        <v>44771</v>
      </c>
      <c r="Y295" s="151">
        <v>2022</v>
      </c>
      <c r="Z295" s="151">
        <v>7</v>
      </c>
      <c r="AA295" s="151">
        <v>29</v>
      </c>
    </row>
    <row r="296" spans="1:27" s="205" customFormat="1" x14ac:dyDescent="0.55000000000000004">
      <c r="A296" s="196">
        <v>329</v>
      </c>
      <c r="B296" s="197"/>
      <c r="C296" s="198">
        <v>8594000</v>
      </c>
      <c r="D296" s="198">
        <v>8594000</v>
      </c>
      <c r="E296" s="198">
        <v>8594872</v>
      </c>
      <c r="F296" s="198">
        <v>0</v>
      </c>
      <c r="G296" s="198">
        <v>8594872</v>
      </c>
      <c r="H296" s="198">
        <v>8594872</v>
      </c>
      <c r="I296" s="198">
        <v>8594872</v>
      </c>
      <c r="J296" s="198">
        <v>8594872</v>
      </c>
      <c r="K296" s="198">
        <v>8594872</v>
      </c>
      <c r="L296" s="198">
        <v>8594000</v>
      </c>
      <c r="M296" s="197" t="s">
        <v>269</v>
      </c>
      <c r="N296" s="199">
        <v>2</v>
      </c>
      <c r="O296" s="200">
        <v>16</v>
      </c>
      <c r="P296" s="196" t="s">
        <v>269</v>
      </c>
      <c r="Q296" s="199">
        <v>2</v>
      </c>
      <c r="R296" s="200">
        <v>12</v>
      </c>
      <c r="S296" s="196" t="s">
        <v>83</v>
      </c>
      <c r="T296" s="197" t="s">
        <v>321</v>
      </c>
      <c r="U296" s="197" t="s">
        <v>259</v>
      </c>
      <c r="V296" s="196" t="s">
        <v>432</v>
      </c>
      <c r="W296" s="196"/>
      <c r="X296" s="201">
        <v>44809</v>
      </c>
      <c r="Y296" s="196">
        <v>2022</v>
      </c>
      <c r="Z296" s="196">
        <v>9</v>
      </c>
      <c r="AA296" s="196">
        <v>5</v>
      </c>
    </row>
    <row r="297" spans="1:27" s="205" customFormat="1" x14ac:dyDescent="0.55000000000000004">
      <c r="A297" s="196">
        <v>335</v>
      </c>
      <c r="B297" s="197"/>
      <c r="C297" s="198">
        <v>2899000</v>
      </c>
      <c r="D297" s="198">
        <v>2899000</v>
      </c>
      <c r="E297" s="198">
        <v>2899160</v>
      </c>
      <c r="F297" s="198">
        <v>0</v>
      </c>
      <c r="G297" s="198">
        <v>2899160</v>
      </c>
      <c r="H297" s="198">
        <v>2899160</v>
      </c>
      <c r="I297" s="198">
        <v>2899160</v>
      </c>
      <c r="J297" s="198">
        <v>2899160</v>
      </c>
      <c r="K297" s="198">
        <v>2899160</v>
      </c>
      <c r="L297" s="198">
        <v>2899000</v>
      </c>
      <c r="M297" s="197" t="s">
        <v>269</v>
      </c>
      <c r="N297" s="199">
        <v>1</v>
      </c>
      <c r="O297" s="200">
        <v>48</v>
      </c>
      <c r="P297" s="196" t="s">
        <v>253</v>
      </c>
      <c r="Q297" s="199">
        <v>0</v>
      </c>
      <c r="R297" s="200">
        <v>0</v>
      </c>
      <c r="S297" s="196" t="s">
        <v>83</v>
      </c>
      <c r="T297" s="197" t="s">
        <v>338</v>
      </c>
      <c r="U297" s="197" t="s">
        <v>431</v>
      </c>
      <c r="V297" s="196" t="s">
        <v>432</v>
      </c>
      <c r="W297" s="196"/>
      <c r="X297" s="201">
        <v>44810</v>
      </c>
      <c r="Y297" s="196">
        <v>2022</v>
      </c>
      <c r="Z297" s="196">
        <v>9</v>
      </c>
      <c r="AA297" s="196">
        <v>5</v>
      </c>
    </row>
    <row r="298" spans="1:27" s="205" customFormat="1" x14ac:dyDescent="0.55000000000000004">
      <c r="A298" s="196">
        <v>338</v>
      </c>
      <c r="B298" s="197"/>
      <c r="C298" s="198">
        <v>1100000</v>
      </c>
      <c r="D298" s="198">
        <v>1100000</v>
      </c>
      <c r="E298" s="198">
        <v>1100000</v>
      </c>
      <c r="F298" s="198">
        <v>0</v>
      </c>
      <c r="G298" s="198">
        <v>1100000</v>
      </c>
      <c r="H298" s="198">
        <v>1100000</v>
      </c>
      <c r="I298" s="198">
        <v>1100000</v>
      </c>
      <c r="J298" s="198">
        <v>1100000</v>
      </c>
      <c r="K298" s="198">
        <v>1100000</v>
      </c>
      <c r="L298" s="198">
        <v>1100000</v>
      </c>
      <c r="M298" s="197" t="s">
        <v>269</v>
      </c>
      <c r="N298" s="199">
        <v>1</v>
      </c>
      <c r="O298" s="200">
        <v>10</v>
      </c>
      <c r="P298" s="196" t="s">
        <v>253</v>
      </c>
      <c r="Q298" s="199">
        <v>0</v>
      </c>
      <c r="R298" s="200">
        <v>0</v>
      </c>
      <c r="S298" s="196" t="s">
        <v>83</v>
      </c>
      <c r="T298" s="197" t="s">
        <v>450</v>
      </c>
      <c r="U298" s="197" t="s">
        <v>451</v>
      </c>
      <c r="V298" s="196" t="s">
        <v>432</v>
      </c>
      <c r="W298" s="196"/>
      <c r="X298" s="201">
        <v>44811</v>
      </c>
      <c r="Y298" s="196">
        <v>2022</v>
      </c>
      <c r="Z298" s="196">
        <v>9</v>
      </c>
      <c r="AA298" s="196">
        <v>5</v>
      </c>
    </row>
    <row r="299" spans="1:27" x14ac:dyDescent="0.55000000000000004">
      <c r="A299" s="190">
        <v>339</v>
      </c>
      <c r="B299" s="191"/>
      <c r="C299" s="192">
        <v>3740000</v>
      </c>
      <c r="D299" s="192">
        <v>3740000</v>
      </c>
      <c r="E299" s="192">
        <v>3740000</v>
      </c>
      <c r="F299" s="192">
        <v>0</v>
      </c>
      <c r="G299" s="192">
        <v>3740000</v>
      </c>
      <c r="H299" s="192">
        <v>3740000</v>
      </c>
      <c r="I299" s="192">
        <v>3740000</v>
      </c>
      <c r="J299" s="192">
        <v>3740000</v>
      </c>
      <c r="K299" s="192">
        <v>3740000</v>
      </c>
      <c r="L299" s="192">
        <v>3740000</v>
      </c>
      <c r="M299" s="191"/>
      <c r="N299" s="193"/>
      <c r="O299" s="194"/>
      <c r="P299" s="190"/>
      <c r="Q299" s="193"/>
      <c r="R299" s="194"/>
      <c r="S299" s="190"/>
      <c r="T299" s="191" t="s">
        <v>452</v>
      </c>
      <c r="U299" s="191" t="s">
        <v>453</v>
      </c>
      <c r="V299" s="190" t="s">
        <v>454</v>
      </c>
      <c r="W299" s="190"/>
      <c r="X299" s="195">
        <v>44813</v>
      </c>
      <c r="Y299" s="190">
        <v>2022</v>
      </c>
      <c r="Z299" s="190">
        <v>9</v>
      </c>
      <c r="AA299" s="190">
        <v>9</v>
      </c>
    </row>
    <row r="300" spans="1:27" x14ac:dyDescent="0.55000000000000004">
      <c r="A300" s="210">
        <v>501</v>
      </c>
      <c r="B300" s="211"/>
      <c r="C300" s="212">
        <v>1430000</v>
      </c>
      <c r="D300" s="212">
        <v>1430000</v>
      </c>
      <c r="E300" s="212">
        <v>1430000</v>
      </c>
      <c r="F300" s="212">
        <v>0</v>
      </c>
      <c r="G300" s="212">
        <v>1430000</v>
      </c>
      <c r="H300" s="212">
        <v>1430000</v>
      </c>
      <c r="I300" s="212">
        <v>1430000</v>
      </c>
      <c r="J300" s="212">
        <v>1430000</v>
      </c>
      <c r="K300" s="212">
        <v>1430000</v>
      </c>
      <c r="L300" s="212">
        <v>1430000</v>
      </c>
      <c r="M300" s="211"/>
      <c r="N300" s="213"/>
      <c r="O300" s="214"/>
      <c r="P300" s="210"/>
      <c r="Q300" s="213"/>
      <c r="R300" s="214"/>
      <c r="S300" s="210"/>
      <c r="T300" s="211" t="s">
        <v>264</v>
      </c>
      <c r="U300" s="211" t="s">
        <v>289</v>
      </c>
      <c r="V300" s="210" t="s">
        <v>432</v>
      </c>
      <c r="W300" s="210"/>
      <c r="X300" s="215">
        <v>44950</v>
      </c>
      <c r="Y300" s="210">
        <v>2023</v>
      </c>
      <c r="Z300" s="210">
        <v>1</v>
      </c>
      <c r="AA300" s="210">
        <v>24</v>
      </c>
    </row>
    <row r="301" spans="1:27" x14ac:dyDescent="0.55000000000000004">
      <c r="A301" s="210">
        <v>502</v>
      </c>
      <c r="B301" s="211"/>
      <c r="C301" s="212"/>
      <c r="D301" s="212"/>
      <c r="E301" s="212" t="s">
        <v>470</v>
      </c>
      <c r="F301" s="212" t="s">
        <v>470</v>
      </c>
      <c r="G301" s="212" t="s">
        <v>470</v>
      </c>
      <c r="H301" s="212" t="s">
        <v>470</v>
      </c>
      <c r="I301" s="212" t="s">
        <v>470</v>
      </c>
      <c r="J301" s="212" t="s">
        <v>470</v>
      </c>
      <c r="K301" s="212" t="s">
        <v>470</v>
      </c>
      <c r="L301" s="212" t="s">
        <v>470</v>
      </c>
      <c r="M301" s="211"/>
      <c r="N301" s="213"/>
      <c r="O301" s="214"/>
      <c r="P301" s="210"/>
      <c r="Q301" s="213"/>
      <c r="R301" s="214"/>
      <c r="S301" s="210"/>
      <c r="T301" s="211" t="s">
        <v>470</v>
      </c>
      <c r="U301" s="211" t="s">
        <v>470</v>
      </c>
      <c r="V301" s="210" t="s">
        <v>470</v>
      </c>
      <c r="W301" s="210"/>
      <c r="X301" s="215"/>
      <c r="Y301" s="211"/>
      <c r="Z301" s="211"/>
      <c r="AA301" s="211"/>
    </row>
    <row r="302" spans="1:27" x14ac:dyDescent="0.55000000000000004">
      <c r="A302" s="210">
        <v>503</v>
      </c>
      <c r="B302" s="211"/>
      <c r="C302" s="212">
        <v>1498000</v>
      </c>
      <c r="D302" s="212">
        <v>1428900</v>
      </c>
      <c r="E302" s="212">
        <v>1498200</v>
      </c>
      <c r="F302" s="212">
        <v>0</v>
      </c>
      <c r="G302" s="212">
        <v>1498200</v>
      </c>
      <c r="H302" s="212">
        <v>1498200</v>
      </c>
      <c r="I302" s="212">
        <v>1498200</v>
      </c>
      <c r="J302" s="212">
        <v>1498200</v>
      </c>
      <c r="K302" s="212">
        <v>1498200</v>
      </c>
      <c r="L302" s="212">
        <v>1498000</v>
      </c>
      <c r="M302" s="211"/>
      <c r="N302" s="213"/>
      <c r="O302" s="214"/>
      <c r="P302" s="210"/>
      <c r="Q302" s="213"/>
      <c r="R302" s="214"/>
      <c r="S302" s="210"/>
      <c r="T302" s="211" t="s">
        <v>274</v>
      </c>
      <c r="U302" s="211" t="s">
        <v>275</v>
      </c>
      <c r="V302" s="210" t="s">
        <v>432</v>
      </c>
      <c r="W302" s="210"/>
      <c r="X302" s="215">
        <v>44950</v>
      </c>
      <c r="Y302" s="210">
        <v>2023</v>
      </c>
      <c r="Z302" s="210">
        <v>1</v>
      </c>
      <c r="AA302" s="210">
        <v>24</v>
      </c>
    </row>
    <row r="303" spans="1:27" x14ac:dyDescent="0.55000000000000004">
      <c r="A303" s="210">
        <v>504</v>
      </c>
      <c r="B303" s="211"/>
      <c r="C303" s="212">
        <v>440000</v>
      </c>
      <c r="D303" s="212">
        <v>440000</v>
      </c>
      <c r="E303" s="212">
        <v>440000</v>
      </c>
      <c r="F303" s="212">
        <v>0</v>
      </c>
      <c r="G303" s="212">
        <v>440000</v>
      </c>
      <c r="H303" s="212">
        <v>440000</v>
      </c>
      <c r="I303" s="212">
        <v>440000</v>
      </c>
      <c r="J303" s="212">
        <v>440000</v>
      </c>
      <c r="K303" s="212">
        <v>440000</v>
      </c>
      <c r="L303" s="212">
        <v>440000</v>
      </c>
      <c r="M303" s="211"/>
      <c r="N303" s="213"/>
      <c r="O303" s="214"/>
      <c r="P303" s="210"/>
      <c r="Q303" s="213"/>
      <c r="R303" s="214"/>
      <c r="S303" s="210"/>
      <c r="T303" s="211" t="s">
        <v>283</v>
      </c>
      <c r="U303" s="211" t="s">
        <v>455</v>
      </c>
      <c r="V303" s="210" t="s">
        <v>432</v>
      </c>
      <c r="W303" s="210"/>
      <c r="X303" s="215">
        <v>44950</v>
      </c>
      <c r="Y303" s="210">
        <v>2023</v>
      </c>
      <c r="Z303" s="210">
        <v>1</v>
      </c>
      <c r="AA303" s="210">
        <v>24</v>
      </c>
    </row>
    <row r="304" spans="1:27" x14ac:dyDescent="0.55000000000000004">
      <c r="A304" s="210">
        <v>505</v>
      </c>
      <c r="B304" s="211"/>
      <c r="C304" s="212">
        <v>1468000</v>
      </c>
      <c r="D304" s="212">
        <v>1430000</v>
      </c>
      <c r="E304" s="212">
        <v>1468500</v>
      </c>
      <c r="F304" s="212">
        <v>0</v>
      </c>
      <c r="G304" s="212">
        <v>1468500</v>
      </c>
      <c r="H304" s="212">
        <v>1468500</v>
      </c>
      <c r="I304" s="212">
        <v>1468500</v>
      </c>
      <c r="J304" s="212">
        <v>1468500</v>
      </c>
      <c r="K304" s="212">
        <v>1468500</v>
      </c>
      <c r="L304" s="212">
        <v>1468000</v>
      </c>
      <c r="M304" s="211"/>
      <c r="N304" s="213"/>
      <c r="O304" s="214"/>
      <c r="P304" s="210"/>
      <c r="Q304" s="213"/>
      <c r="R304" s="214"/>
      <c r="S304" s="210"/>
      <c r="T304" s="211" t="s">
        <v>264</v>
      </c>
      <c r="U304" s="211" t="s">
        <v>265</v>
      </c>
      <c r="V304" s="210" t="s">
        <v>432</v>
      </c>
      <c r="W304" s="210"/>
      <c r="X304" s="215">
        <v>44950</v>
      </c>
      <c r="Y304" s="210">
        <v>2023</v>
      </c>
      <c r="Z304" s="210">
        <v>1</v>
      </c>
      <c r="AA304" s="210">
        <v>24</v>
      </c>
    </row>
    <row r="305" spans="1:34" x14ac:dyDescent="0.55000000000000004">
      <c r="A305" s="210">
        <v>506</v>
      </c>
      <c r="B305" s="211"/>
      <c r="C305" s="212">
        <v>1578000</v>
      </c>
      <c r="D305" s="212">
        <v>1540000</v>
      </c>
      <c r="E305" s="212">
        <v>1578500</v>
      </c>
      <c r="F305" s="212">
        <v>0</v>
      </c>
      <c r="G305" s="212">
        <v>1578500</v>
      </c>
      <c r="H305" s="212">
        <v>1578500</v>
      </c>
      <c r="I305" s="212">
        <v>1578500</v>
      </c>
      <c r="J305" s="212">
        <v>1578500</v>
      </c>
      <c r="K305" s="212">
        <v>1578500</v>
      </c>
      <c r="L305" s="212">
        <v>1578000</v>
      </c>
      <c r="M305" s="211"/>
      <c r="N305" s="213"/>
      <c r="O305" s="214"/>
      <c r="P305" s="210"/>
      <c r="Q305" s="213"/>
      <c r="R305" s="214"/>
      <c r="S305" s="210"/>
      <c r="T305" s="211" t="s">
        <v>456</v>
      </c>
      <c r="U305" s="211" t="s">
        <v>457</v>
      </c>
      <c r="V305" s="210" t="s">
        <v>432</v>
      </c>
      <c r="W305" s="210"/>
      <c r="X305" s="215">
        <v>44950</v>
      </c>
      <c r="Y305" s="210">
        <v>2023</v>
      </c>
      <c r="Z305" s="210">
        <v>1</v>
      </c>
      <c r="AA305" s="210">
        <v>24</v>
      </c>
    </row>
    <row r="306" spans="1:34" x14ac:dyDescent="0.55000000000000004">
      <c r="A306" s="210">
        <v>507</v>
      </c>
      <c r="B306" s="211"/>
      <c r="C306" s="212"/>
      <c r="D306" s="212"/>
      <c r="E306" s="212" t="s">
        <v>470</v>
      </c>
      <c r="F306" s="212" t="s">
        <v>470</v>
      </c>
      <c r="G306" s="212" t="s">
        <v>470</v>
      </c>
      <c r="H306" s="212" t="s">
        <v>470</v>
      </c>
      <c r="I306" s="212" t="s">
        <v>470</v>
      </c>
      <c r="J306" s="212" t="s">
        <v>470</v>
      </c>
      <c r="K306" s="212" t="s">
        <v>470</v>
      </c>
      <c r="L306" s="212" t="s">
        <v>470</v>
      </c>
      <c r="M306" s="211"/>
      <c r="N306" s="213"/>
      <c r="O306" s="214"/>
      <c r="P306" s="210"/>
      <c r="Q306" s="213"/>
      <c r="R306" s="214"/>
      <c r="S306" s="210"/>
      <c r="T306" s="211" t="s">
        <v>470</v>
      </c>
      <c r="U306" s="211" t="s">
        <v>470</v>
      </c>
      <c r="V306" s="210" t="s">
        <v>470</v>
      </c>
      <c r="W306" s="210"/>
      <c r="X306" s="215"/>
      <c r="Y306" s="211"/>
      <c r="Z306" s="211"/>
      <c r="AA306" s="211"/>
    </row>
    <row r="307" spans="1:34" x14ac:dyDescent="0.55000000000000004">
      <c r="A307" s="210">
        <v>508</v>
      </c>
      <c r="B307" s="211"/>
      <c r="C307" s="212"/>
      <c r="D307" s="212"/>
      <c r="E307" s="212" t="s">
        <v>470</v>
      </c>
      <c r="F307" s="212" t="s">
        <v>470</v>
      </c>
      <c r="G307" s="212" t="s">
        <v>470</v>
      </c>
      <c r="H307" s="212" t="s">
        <v>470</v>
      </c>
      <c r="I307" s="212" t="s">
        <v>470</v>
      </c>
      <c r="J307" s="212" t="s">
        <v>470</v>
      </c>
      <c r="K307" s="212" t="s">
        <v>470</v>
      </c>
      <c r="L307" s="212" t="s">
        <v>470</v>
      </c>
      <c r="M307" s="211"/>
      <c r="N307" s="213"/>
      <c r="O307" s="214"/>
      <c r="P307" s="210"/>
      <c r="Q307" s="213"/>
      <c r="R307" s="214"/>
      <c r="S307" s="210"/>
      <c r="T307" s="211" t="s">
        <v>470</v>
      </c>
      <c r="U307" s="211" t="s">
        <v>470</v>
      </c>
      <c r="V307" s="210" t="s">
        <v>470</v>
      </c>
      <c r="W307" s="210"/>
      <c r="X307" s="215"/>
      <c r="Y307" s="211"/>
      <c r="Z307" s="211"/>
      <c r="AA307" s="211"/>
    </row>
    <row r="308" spans="1:34" x14ac:dyDescent="0.55000000000000004">
      <c r="A308" s="210">
        <v>509</v>
      </c>
      <c r="B308" s="211"/>
      <c r="C308" s="212">
        <v>1463000</v>
      </c>
      <c r="D308" s="212">
        <v>1430000</v>
      </c>
      <c r="E308" s="212">
        <v>1463688</v>
      </c>
      <c r="F308" s="212">
        <v>0</v>
      </c>
      <c r="G308" s="212">
        <v>1463688</v>
      </c>
      <c r="H308" s="212">
        <v>1463688</v>
      </c>
      <c r="I308" s="212">
        <v>1463688</v>
      </c>
      <c r="J308" s="212">
        <v>1463688</v>
      </c>
      <c r="K308" s="212">
        <v>1463688</v>
      </c>
      <c r="L308" s="212">
        <v>1463000</v>
      </c>
      <c r="M308" s="211"/>
      <c r="N308" s="213"/>
      <c r="O308" s="214"/>
      <c r="P308" s="210"/>
      <c r="Q308" s="213"/>
      <c r="R308" s="214"/>
      <c r="S308" s="210"/>
      <c r="T308" s="211" t="s">
        <v>321</v>
      </c>
      <c r="U308" s="211" t="s">
        <v>285</v>
      </c>
      <c r="V308" s="210" t="s">
        <v>432</v>
      </c>
      <c r="W308" s="210"/>
      <c r="X308" s="215">
        <v>44950</v>
      </c>
      <c r="Y308" s="210">
        <v>2023</v>
      </c>
      <c r="Z308" s="210">
        <v>1</v>
      </c>
      <c r="AA308" s="210">
        <v>24</v>
      </c>
    </row>
    <row r="309" spans="1:34" x14ac:dyDescent="0.55000000000000004">
      <c r="A309" s="210">
        <v>510</v>
      </c>
      <c r="B309" s="211"/>
      <c r="C309" s="212"/>
      <c r="D309" s="212"/>
      <c r="E309" s="212" t="s">
        <v>470</v>
      </c>
      <c r="F309" s="212" t="s">
        <v>470</v>
      </c>
      <c r="G309" s="212" t="s">
        <v>470</v>
      </c>
      <c r="H309" s="212" t="s">
        <v>470</v>
      </c>
      <c r="I309" s="212" t="s">
        <v>470</v>
      </c>
      <c r="J309" s="212" t="s">
        <v>470</v>
      </c>
      <c r="K309" s="212" t="s">
        <v>470</v>
      </c>
      <c r="L309" s="212" t="s">
        <v>470</v>
      </c>
      <c r="M309" s="211"/>
      <c r="N309" s="213"/>
      <c r="O309" s="214"/>
      <c r="P309" s="210"/>
      <c r="Q309" s="213"/>
      <c r="R309" s="214"/>
      <c r="S309" s="210"/>
      <c r="T309" s="211" t="s">
        <v>470</v>
      </c>
      <c r="U309" s="211" t="s">
        <v>470</v>
      </c>
      <c r="V309" s="210" t="s">
        <v>470</v>
      </c>
      <c r="W309" s="210"/>
      <c r="X309" s="215"/>
      <c r="Y309" s="211"/>
      <c r="Z309" s="211"/>
      <c r="AA309" s="211"/>
    </row>
    <row r="310" spans="1:34" x14ac:dyDescent="0.55000000000000004">
      <c r="A310" s="210">
        <v>511</v>
      </c>
      <c r="B310" s="211"/>
      <c r="C310" s="212">
        <v>1570000</v>
      </c>
      <c r="D310" s="212">
        <v>1540000</v>
      </c>
      <c r="E310" s="212">
        <v>1570625</v>
      </c>
      <c r="F310" s="212">
        <v>0</v>
      </c>
      <c r="G310" s="212">
        <v>1570625</v>
      </c>
      <c r="H310" s="212">
        <v>1570625</v>
      </c>
      <c r="I310" s="212">
        <v>1570625</v>
      </c>
      <c r="J310" s="212">
        <v>1570625</v>
      </c>
      <c r="K310" s="212">
        <v>1570625</v>
      </c>
      <c r="L310" s="212">
        <v>1570000</v>
      </c>
      <c r="M310" s="211"/>
      <c r="N310" s="213"/>
      <c r="O310" s="214"/>
      <c r="P310" s="210"/>
      <c r="Q310" s="213"/>
      <c r="R310" s="214"/>
      <c r="S310" s="210"/>
      <c r="T310" s="211" t="s">
        <v>256</v>
      </c>
      <c r="U310" s="211" t="s">
        <v>282</v>
      </c>
      <c r="V310" s="210" t="s">
        <v>432</v>
      </c>
      <c r="W310" s="210"/>
      <c r="X310" s="215">
        <v>44950</v>
      </c>
      <c r="Y310" s="210">
        <v>2023</v>
      </c>
      <c r="Z310" s="210">
        <v>1</v>
      </c>
      <c r="AA310" s="210">
        <v>24</v>
      </c>
    </row>
    <row r="311" spans="1:34" x14ac:dyDescent="0.55000000000000004">
      <c r="A311" s="210">
        <v>512</v>
      </c>
      <c r="B311" s="211"/>
      <c r="C311" s="212">
        <v>1298000</v>
      </c>
      <c r="D311" s="212">
        <v>1298000</v>
      </c>
      <c r="E311" s="212">
        <v>1298000</v>
      </c>
      <c r="F311" s="212">
        <v>0</v>
      </c>
      <c r="G311" s="212">
        <v>1298000</v>
      </c>
      <c r="H311" s="212">
        <v>1298000</v>
      </c>
      <c r="I311" s="212">
        <v>1298000</v>
      </c>
      <c r="J311" s="212">
        <v>1298000</v>
      </c>
      <c r="K311" s="212">
        <v>1298000</v>
      </c>
      <c r="L311" s="212">
        <v>1298000</v>
      </c>
      <c r="M311" s="211"/>
      <c r="N311" s="213"/>
      <c r="O311" s="214"/>
      <c r="P311" s="210"/>
      <c r="Q311" s="213"/>
      <c r="R311" s="214"/>
      <c r="S311" s="210"/>
      <c r="T311" s="211" t="s">
        <v>276</v>
      </c>
      <c r="U311" s="211" t="s">
        <v>277</v>
      </c>
      <c r="V311" s="210" t="s">
        <v>432</v>
      </c>
      <c r="W311" s="210"/>
      <c r="X311" s="215">
        <v>44950</v>
      </c>
      <c r="Y311" s="210">
        <v>2023</v>
      </c>
      <c r="Z311" s="210">
        <v>1</v>
      </c>
      <c r="AA311" s="210">
        <v>24</v>
      </c>
      <c r="AH311" s="160">
        <v>44950</v>
      </c>
    </row>
    <row r="312" spans="1:34" x14ac:dyDescent="0.55000000000000004">
      <c r="A312" s="210">
        <v>513</v>
      </c>
      <c r="B312" s="211"/>
      <c r="C312" s="212">
        <v>1463000</v>
      </c>
      <c r="D312" s="212">
        <v>1430000</v>
      </c>
      <c r="E312" s="212">
        <v>1463000</v>
      </c>
      <c r="F312" s="212">
        <v>0</v>
      </c>
      <c r="G312" s="212">
        <v>1463000</v>
      </c>
      <c r="H312" s="212">
        <v>1463000</v>
      </c>
      <c r="I312" s="212">
        <v>1463000</v>
      </c>
      <c r="J312" s="212">
        <v>1463000</v>
      </c>
      <c r="K312" s="212">
        <v>1463000</v>
      </c>
      <c r="L312" s="212">
        <v>1463000</v>
      </c>
      <c r="M312" s="211"/>
      <c r="N312" s="213"/>
      <c r="O312" s="214"/>
      <c r="P312" s="210"/>
      <c r="Q312" s="213"/>
      <c r="R312" s="214"/>
      <c r="S312" s="210"/>
      <c r="T312" s="211" t="s">
        <v>256</v>
      </c>
      <c r="U312" s="211" t="s">
        <v>327</v>
      </c>
      <c r="V312" s="210" t="s">
        <v>432</v>
      </c>
      <c r="W312" s="210"/>
      <c r="X312" s="215">
        <v>44950</v>
      </c>
      <c r="Y312" s="210">
        <v>2023</v>
      </c>
      <c r="Z312" s="210">
        <v>1</v>
      </c>
      <c r="AA312" s="210">
        <v>24</v>
      </c>
      <c r="AH312" s="160"/>
    </row>
    <row r="313" spans="1:34" x14ac:dyDescent="0.55000000000000004">
      <c r="A313" s="210">
        <v>514</v>
      </c>
      <c r="B313" s="211"/>
      <c r="C313" s="212">
        <v>1557000</v>
      </c>
      <c r="D313" s="212">
        <v>1496000</v>
      </c>
      <c r="E313" s="212">
        <v>1557600</v>
      </c>
      <c r="F313" s="212">
        <v>0</v>
      </c>
      <c r="G313" s="212">
        <v>1557600</v>
      </c>
      <c r="H313" s="212">
        <v>1557600</v>
      </c>
      <c r="I313" s="212">
        <v>1557600</v>
      </c>
      <c r="J313" s="212">
        <v>1557600</v>
      </c>
      <c r="K313" s="212">
        <v>1557600</v>
      </c>
      <c r="L313" s="212">
        <v>1557000</v>
      </c>
      <c r="M313" s="211"/>
      <c r="N313" s="213"/>
      <c r="O313" s="214"/>
      <c r="P313" s="210"/>
      <c r="Q313" s="213"/>
      <c r="R313" s="214"/>
      <c r="S313" s="210"/>
      <c r="T313" s="211" t="s">
        <v>264</v>
      </c>
      <c r="U313" s="211" t="s">
        <v>458</v>
      </c>
      <c r="V313" s="210" t="s">
        <v>432</v>
      </c>
      <c r="W313" s="210"/>
      <c r="X313" s="215">
        <v>44950</v>
      </c>
      <c r="Y313" s="210">
        <v>2023</v>
      </c>
      <c r="Z313" s="210">
        <v>1</v>
      </c>
      <c r="AA313" s="210">
        <v>24</v>
      </c>
      <c r="AH313" s="160">
        <v>44950</v>
      </c>
    </row>
    <row r="314" spans="1:34" x14ac:dyDescent="0.55000000000000004">
      <c r="A314" s="210">
        <v>515</v>
      </c>
      <c r="B314" s="211"/>
      <c r="C314" s="212"/>
      <c r="D314" s="212"/>
      <c r="E314" s="212" t="s">
        <v>470</v>
      </c>
      <c r="F314" s="212" t="s">
        <v>470</v>
      </c>
      <c r="G314" s="212" t="s">
        <v>470</v>
      </c>
      <c r="H314" s="212" t="s">
        <v>470</v>
      </c>
      <c r="I314" s="212" t="s">
        <v>470</v>
      </c>
      <c r="J314" s="212" t="s">
        <v>470</v>
      </c>
      <c r="K314" s="212" t="s">
        <v>470</v>
      </c>
      <c r="L314" s="212" t="s">
        <v>470</v>
      </c>
      <c r="M314" s="211"/>
      <c r="N314" s="213"/>
      <c r="O314" s="214"/>
      <c r="P314" s="210"/>
      <c r="Q314" s="213"/>
      <c r="R314" s="214"/>
      <c r="S314" s="210"/>
      <c r="T314" s="211" t="s">
        <v>470</v>
      </c>
      <c r="U314" s="211" t="s">
        <v>470</v>
      </c>
      <c r="V314" s="210" t="s">
        <v>470</v>
      </c>
      <c r="W314" s="210"/>
      <c r="X314" s="215"/>
      <c r="Y314" s="211"/>
      <c r="Z314" s="211"/>
      <c r="AA314" s="211"/>
      <c r="AH314" s="160">
        <v>44950</v>
      </c>
    </row>
    <row r="315" spans="1:34" x14ac:dyDescent="0.55000000000000004">
      <c r="A315" s="210">
        <v>516</v>
      </c>
      <c r="B315" s="211"/>
      <c r="C315" s="212">
        <v>1617000</v>
      </c>
      <c r="D315" s="212">
        <v>1540000</v>
      </c>
      <c r="E315" s="212">
        <v>1617000</v>
      </c>
      <c r="F315" s="212">
        <v>0</v>
      </c>
      <c r="G315" s="212">
        <v>1617000</v>
      </c>
      <c r="H315" s="212">
        <v>1617000</v>
      </c>
      <c r="I315" s="212">
        <v>1617000</v>
      </c>
      <c r="J315" s="212">
        <v>1617000</v>
      </c>
      <c r="K315" s="212">
        <v>1617000</v>
      </c>
      <c r="L315" s="212">
        <v>1617000</v>
      </c>
      <c r="M315" s="211"/>
      <c r="N315" s="213"/>
      <c r="O315" s="214"/>
      <c r="P315" s="210"/>
      <c r="Q315" s="213"/>
      <c r="R315" s="214"/>
      <c r="S315" s="210"/>
      <c r="T315" s="211" t="s">
        <v>276</v>
      </c>
      <c r="U315" s="211" t="s">
        <v>267</v>
      </c>
      <c r="V315" s="210" t="s">
        <v>432</v>
      </c>
      <c r="W315" s="210"/>
      <c r="X315" s="215">
        <v>44950</v>
      </c>
      <c r="Y315" s="210">
        <v>2023</v>
      </c>
      <c r="Z315" s="210">
        <v>1</v>
      </c>
      <c r="AA315" s="210">
        <v>24</v>
      </c>
      <c r="AH315" s="160">
        <v>44950</v>
      </c>
    </row>
    <row r="316" spans="1:34" x14ac:dyDescent="0.55000000000000004">
      <c r="A316" s="210">
        <v>517</v>
      </c>
      <c r="B316" s="211"/>
      <c r="C316" s="212">
        <v>1617000</v>
      </c>
      <c r="D316" s="212">
        <v>1540000</v>
      </c>
      <c r="E316" s="212">
        <v>1617000</v>
      </c>
      <c r="F316" s="212">
        <v>0</v>
      </c>
      <c r="G316" s="212">
        <v>1617000</v>
      </c>
      <c r="H316" s="212">
        <v>1617000</v>
      </c>
      <c r="I316" s="212">
        <v>1617000</v>
      </c>
      <c r="J316" s="212">
        <v>1617000</v>
      </c>
      <c r="K316" s="212">
        <v>1617000</v>
      </c>
      <c r="L316" s="212">
        <v>1617000</v>
      </c>
      <c r="M316" s="211"/>
      <c r="N316" s="213"/>
      <c r="O316" s="214"/>
      <c r="P316" s="210"/>
      <c r="Q316" s="213"/>
      <c r="R316" s="214"/>
      <c r="S316" s="210"/>
      <c r="T316" s="211" t="s">
        <v>266</v>
      </c>
      <c r="U316" s="211" t="s">
        <v>459</v>
      </c>
      <c r="V316" s="210" t="s">
        <v>432</v>
      </c>
      <c r="W316" s="210"/>
      <c r="X316" s="215">
        <v>44950</v>
      </c>
      <c r="Y316" s="210">
        <v>2023</v>
      </c>
      <c r="Z316" s="210">
        <v>1</v>
      </c>
      <c r="AA316" s="210">
        <v>24</v>
      </c>
      <c r="AH316" s="160">
        <v>44950</v>
      </c>
    </row>
    <row r="317" spans="1:34" x14ac:dyDescent="0.55000000000000004">
      <c r="A317" s="210">
        <v>518</v>
      </c>
      <c r="B317" s="211"/>
      <c r="C317" s="212">
        <v>1463000</v>
      </c>
      <c r="D317" s="212">
        <v>1430000</v>
      </c>
      <c r="E317" s="212">
        <v>1463687.5</v>
      </c>
      <c r="F317" s="212">
        <v>0</v>
      </c>
      <c r="G317" s="212">
        <v>1463687.5</v>
      </c>
      <c r="H317" s="212">
        <v>1463687.5</v>
      </c>
      <c r="I317" s="212">
        <v>1463687.5</v>
      </c>
      <c r="J317" s="212">
        <v>1463687.5</v>
      </c>
      <c r="K317" s="212">
        <v>1463687.5</v>
      </c>
      <c r="L317" s="212">
        <v>1463000</v>
      </c>
      <c r="M317" s="211"/>
      <c r="N317" s="213"/>
      <c r="O317" s="214"/>
      <c r="P317" s="210"/>
      <c r="Q317" s="213"/>
      <c r="R317" s="214"/>
      <c r="S317" s="210"/>
      <c r="T317" s="211" t="s">
        <v>266</v>
      </c>
      <c r="U317" s="211" t="s">
        <v>459</v>
      </c>
      <c r="V317" s="210" t="s">
        <v>432</v>
      </c>
      <c r="W317" s="210"/>
      <c r="X317" s="215">
        <v>44950</v>
      </c>
      <c r="Y317" s="210">
        <v>2023</v>
      </c>
      <c r="Z317" s="210">
        <v>1</v>
      </c>
      <c r="AA317" s="210">
        <v>24</v>
      </c>
      <c r="AH317" s="160"/>
    </row>
    <row r="318" spans="1:34" x14ac:dyDescent="0.55000000000000004">
      <c r="A318" s="210">
        <v>520</v>
      </c>
      <c r="B318" s="211"/>
      <c r="C318" s="212">
        <v>1529000</v>
      </c>
      <c r="D318" s="212">
        <v>1485000</v>
      </c>
      <c r="E318" s="212">
        <v>1529000</v>
      </c>
      <c r="F318" s="212">
        <v>0</v>
      </c>
      <c r="G318" s="212">
        <v>1529000</v>
      </c>
      <c r="H318" s="212">
        <v>1529000</v>
      </c>
      <c r="I318" s="212">
        <v>1529000</v>
      </c>
      <c r="J318" s="212">
        <v>1529000</v>
      </c>
      <c r="K318" s="212">
        <v>1529000</v>
      </c>
      <c r="L318" s="212">
        <v>1529000</v>
      </c>
      <c r="M318" s="211"/>
      <c r="N318" s="213"/>
      <c r="O318" s="214"/>
      <c r="P318" s="210"/>
      <c r="Q318" s="213"/>
      <c r="R318" s="214"/>
      <c r="S318" s="210"/>
      <c r="T318" s="211" t="s">
        <v>258</v>
      </c>
      <c r="U318" s="211" t="s">
        <v>460</v>
      </c>
      <c r="V318" s="210" t="s">
        <v>432</v>
      </c>
      <c r="W318" s="210"/>
      <c r="X318" s="215">
        <v>44950</v>
      </c>
      <c r="Y318" s="210">
        <v>2023</v>
      </c>
      <c r="Z318" s="210">
        <v>1</v>
      </c>
      <c r="AA318" s="210">
        <v>24</v>
      </c>
      <c r="AH318" s="160"/>
    </row>
    <row r="319" spans="1:34" x14ac:dyDescent="0.55000000000000004">
      <c r="A319" s="210">
        <v>521</v>
      </c>
      <c r="B319" s="211"/>
      <c r="C319" s="212"/>
      <c r="D319" s="212"/>
      <c r="E319" s="212" t="s">
        <v>470</v>
      </c>
      <c r="F319" s="212" t="s">
        <v>470</v>
      </c>
      <c r="G319" s="212" t="s">
        <v>470</v>
      </c>
      <c r="H319" s="212" t="s">
        <v>470</v>
      </c>
      <c r="I319" s="212" t="s">
        <v>470</v>
      </c>
      <c r="J319" s="212" t="s">
        <v>470</v>
      </c>
      <c r="K319" s="212" t="s">
        <v>470</v>
      </c>
      <c r="L319" s="212" t="s">
        <v>470</v>
      </c>
      <c r="M319" s="211"/>
      <c r="N319" s="213"/>
      <c r="O319" s="214"/>
      <c r="P319" s="210"/>
      <c r="Q319" s="213"/>
      <c r="R319" s="214"/>
      <c r="S319" s="210"/>
      <c r="T319" s="211" t="s">
        <v>470</v>
      </c>
      <c r="U319" s="211" t="s">
        <v>470</v>
      </c>
      <c r="V319" s="210" t="s">
        <v>470</v>
      </c>
      <c r="W319" s="210"/>
      <c r="X319" s="215"/>
      <c r="Y319" s="211"/>
      <c r="Z319" s="211"/>
      <c r="AA319" s="211"/>
      <c r="AH319" s="160">
        <v>44950</v>
      </c>
    </row>
    <row r="320" spans="1:34" x14ac:dyDescent="0.55000000000000004">
      <c r="A320" s="210">
        <v>522</v>
      </c>
      <c r="B320" s="211"/>
      <c r="C320" s="212">
        <v>1369000</v>
      </c>
      <c r="D320" s="212">
        <v>1100000</v>
      </c>
      <c r="E320" s="212">
        <v>1369495</v>
      </c>
      <c r="F320" s="212">
        <v>0</v>
      </c>
      <c r="G320" s="212">
        <v>1369495</v>
      </c>
      <c r="H320" s="212">
        <v>1369495</v>
      </c>
      <c r="I320" s="212">
        <v>1369495</v>
      </c>
      <c r="J320" s="212">
        <v>1369495</v>
      </c>
      <c r="K320" s="212">
        <v>1369495</v>
      </c>
      <c r="L320" s="212">
        <v>1369000</v>
      </c>
      <c r="M320" s="211"/>
      <c r="N320" s="213"/>
      <c r="O320" s="214"/>
      <c r="P320" s="210"/>
      <c r="Q320" s="213"/>
      <c r="R320" s="214"/>
      <c r="S320" s="210"/>
      <c r="T320" s="211" t="s">
        <v>461</v>
      </c>
      <c r="U320" s="211" t="s">
        <v>342</v>
      </c>
      <c r="V320" s="210" t="s">
        <v>432</v>
      </c>
      <c r="W320" s="210"/>
      <c r="X320" s="215">
        <v>44950</v>
      </c>
      <c r="Y320" s="210">
        <v>2023</v>
      </c>
      <c r="Z320" s="210">
        <v>1</v>
      </c>
      <c r="AA320" s="210">
        <v>24</v>
      </c>
      <c r="AH320" s="160"/>
    </row>
    <row r="321" spans="1:34" x14ac:dyDescent="0.55000000000000004">
      <c r="A321" s="210">
        <v>523</v>
      </c>
      <c r="B321" s="211"/>
      <c r="C321" s="212">
        <v>638000</v>
      </c>
      <c r="D321" s="212">
        <v>638000</v>
      </c>
      <c r="E321" s="212">
        <v>638000</v>
      </c>
      <c r="F321" s="212">
        <v>0</v>
      </c>
      <c r="G321" s="212">
        <v>638000</v>
      </c>
      <c r="H321" s="212">
        <v>638000</v>
      </c>
      <c r="I321" s="212">
        <v>638000</v>
      </c>
      <c r="J321" s="212">
        <v>638000</v>
      </c>
      <c r="K321" s="212">
        <v>638000</v>
      </c>
      <c r="L321" s="212">
        <v>638000</v>
      </c>
      <c r="M321" s="211"/>
      <c r="N321" s="213"/>
      <c r="O321" s="214"/>
      <c r="P321" s="210"/>
      <c r="Q321" s="213"/>
      <c r="R321" s="214"/>
      <c r="S321" s="210"/>
      <c r="T321" s="211" t="s">
        <v>266</v>
      </c>
      <c r="U321" s="211" t="s">
        <v>344</v>
      </c>
      <c r="V321" s="210" t="s">
        <v>432</v>
      </c>
      <c r="W321" s="210"/>
      <c r="X321" s="215">
        <v>44950</v>
      </c>
      <c r="Y321" s="210">
        <v>2023</v>
      </c>
      <c r="Z321" s="210">
        <v>1</v>
      </c>
      <c r="AA321" s="210">
        <v>24</v>
      </c>
      <c r="AH321" s="160">
        <v>44950</v>
      </c>
    </row>
    <row r="322" spans="1:34" x14ac:dyDescent="0.55000000000000004">
      <c r="A322" s="210">
        <v>524</v>
      </c>
      <c r="B322" s="211"/>
      <c r="C322" s="212"/>
      <c r="D322" s="212"/>
      <c r="E322" s="212" t="s">
        <v>470</v>
      </c>
      <c r="F322" s="212" t="s">
        <v>470</v>
      </c>
      <c r="G322" s="212" t="s">
        <v>470</v>
      </c>
      <c r="H322" s="212" t="s">
        <v>470</v>
      </c>
      <c r="I322" s="212" t="s">
        <v>470</v>
      </c>
      <c r="J322" s="212" t="s">
        <v>470</v>
      </c>
      <c r="K322" s="212" t="s">
        <v>470</v>
      </c>
      <c r="L322" s="212" t="s">
        <v>470</v>
      </c>
      <c r="M322" s="211"/>
      <c r="N322" s="213"/>
      <c r="O322" s="214"/>
      <c r="P322" s="210"/>
      <c r="Q322" s="213"/>
      <c r="R322" s="214"/>
      <c r="S322" s="210"/>
      <c r="T322" s="211" t="s">
        <v>470</v>
      </c>
      <c r="U322" s="211" t="s">
        <v>470</v>
      </c>
      <c r="V322" s="210" t="s">
        <v>470</v>
      </c>
      <c r="W322" s="210"/>
      <c r="X322" s="215"/>
      <c r="Y322" s="211"/>
      <c r="Z322" s="211"/>
      <c r="AA322" s="211"/>
      <c r="AH322" s="160">
        <v>44950</v>
      </c>
    </row>
    <row r="323" spans="1:34" x14ac:dyDescent="0.55000000000000004">
      <c r="A323" s="210">
        <v>525</v>
      </c>
      <c r="B323" s="211"/>
      <c r="C323" s="212"/>
      <c r="D323" s="212"/>
      <c r="E323" s="212" t="s">
        <v>470</v>
      </c>
      <c r="F323" s="212" t="s">
        <v>470</v>
      </c>
      <c r="G323" s="212" t="s">
        <v>470</v>
      </c>
      <c r="H323" s="212" t="s">
        <v>470</v>
      </c>
      <c r="I323" s="212" t="s">
        <v>470</v>
      </c>
      <c r="J323" s="212" t="s">
        <v>470</v>
      </c>
      <c r="K323" s="212" t="s">
        <v>470</v>
      </c>
      <c r="L323" s="212" t="s">
        <v>470</v>
      </c>
      <c r="M323" s="211"/>
      <c r="N323" s="213"/>
      <c r="O323" s="214"/>
      <c r="P323" s="210"/>
      <c r="Q323" s="213"/>
      <c r="R323" s="214"/>
      <c r="S323" s="210"/>
      <c r="T323" s="211" t="s">
        <v>470</v>
      </c>
      <c r="U323" s="211" t="s">
        <v>470</v>
      </c>
      <c r="V323" s="210" t="s">
        <v>470</v>
      </c>
      <c r="W323" s="210"/>
      <c r="X323" s="215"/>
      <c r="Y323" s="211"/>
      <c r="Z323" s="211"/>
      <c r="AA323" s="211"/>
      <c r="AH323" s="160">
        <v>44950</v>
      </c>
    </row>
    <row r="324" spans="1:34" x14ac:dyDescent="0.55000000000000004">
      <c r="A324" s="210">
        <v>526</v>
      </c>
      <c r="B324" s="211"/>
      <c r="C324" s="212">
        <v>1430000</v>
      </c>
      <c r="D324" s="212">
        <v>1430000</v>
      </c>
      <c r="E324" s="212">
        <v>1430000</v>
      </c>
      <c r="F324" s="212">
        <v>0</v>
      </c>
      <c r="G324" s="212">
        <v>1430000</v>
      </c>
      <c r="H324" s="212">
        <v>1430000</v>
      </c>
      <c r="I324" s="212">
        <v>1430000</v>
      </c>
      <c r="J324" s="212">
        <v>1430000</v>
      </c>
      <c r="K324" s="212">
        <v>1430000</v>
      </c>
      <c r="L324" s="212">
        <v>1430000</v>
      </c>
      <c r="M324" s="211"/>
      <c r="N324" s="213"/>
      <c r="O324" s="214"/>
      <c r="P324" s="210"/>
      <c r="Q324" s="213"/>
      <c r="R324" s="214"/>
      <c r="S324" s="210"/>
      <c r="T324" s="211" t="s">
        <v>274</v>
      </c>
      <c r="U324" s="211" t="s">
        <v>265</v>
      </c>
      <c r="V324" s="210" t="s">
        <v>432</v>
      </c>
      <c r="W324" s="210"/>
      <c r="X324" s="215">
        <v>44950</v>
      </c>
      <c r="Y324" s="210">
        <v>2023</v>
      </c>
      <c r="Z324" s="210">
        <v>1</v>
      </c>
      <c r="AA324" s="210">
        <v>24</v>
      </c>
      <c r="AH324" s="160">
        <v>44950</v>
      </c>
    </row>
    <row r="325" spans="1:34" x14ac:dyDescent="0.55000000000000004">
      <c r="A325" s="210">
        <v>527</v>
      </c>
      <c r="B325" s="211"/>
      <c r="C325" s="212">
        <v>176000</v>
      </c>
      <c r="D325" s="212">
        <v>176220</v>
      </c>
      <c r="E325" s="212">
        <v>176220</v>
      </c>
      <c r="F325" s="212">
        <v>0</v>
      </c>
      <c r="G325" s="212">
        <v>176220</v>
      </c>
      <c r="H325" s="212">
        <v>176220</v>
      </c>
      <c r="I325" s="212">
        <v>176220</v>
      </c>
      <c r="J325" s="212">
        <v>176220</v>
      </c>
      <c r="K325" s="212">
        <v>176220</v>
      </c>
      <c r="L325" s="212">
        <v>176000</v>
      </c>
      <c r="M325" s="211"/>
      <c r="N325" s="213"/>
      <c r="O325" s="214"/>
      <c r="P325" s="210"/>
      <c r="Q325" s="213"/>
      <c r="R325" s="214"/>
      <c r="S325" s="210"/>
      <c r="T325" s="211" t="s">
        <v>266</v>
      </c>
      <c r="U325" s="211" t="s">
        <v>294</v>
      </c>
      <c r="V325" s="210" t="s">
        <v>432</v>
      </c>
      <c r="W325" s="210"/>
      <c r="X325" s="215">
        <v>44950</v>
      </c>
      <c r="Y325" s="210">
        <v>2023</v>
      </c>
      <c r="Z325" s="210">
        <v>1</v>
      </c>
      <c r="AA325" s="210">
        <v>24</v>
      </c>
      <c r="AH325" s="160"/>
    </row>
    <row r="326" spans="1:34" x14ac:dyDescent="0.55000000000000004">
      <c r="A326" s="210">
        <v>528</v>
      </c>
      <c r="B326" s="211"/>
      <c r="C326" s="212"/>
      <c r="D326" s="212"/>
      <c r="E326" s="212" t="s">
        <v>470</v>
      </c>
      <c r="F326" s="212" t="s">
        <v>470</v>
      </c>
      <c r="G326" s="212" t="s">
        <v>470</v>
      </c>
      <c r="H326" s="212" t="s">
        <v>470</v>
      </c>
      <c r="I326" s="212" t="s">
        <v>470</v>
      </c>
      <c r="J326" s="212" t="s">
        <v>470</v>
      </c>
      <c r="K326" s="212" t="s">
        <v>470</v>
      </c>
      <c r="L326" s="212" t="s">
        <v>470</v>
      </c>
      <c r="M326" s="211"/>
      <c r="N326" s="213"/>
      <c r="O326" s="214"/>
      <c r="P326" s="210"/>
      <c r="Q326" s="213"/>
      <c r="R326" s="214"/>
      <c r="S326" s="210"/>
      <c r="T326" s="211" t="s">
        <v>470</v>
      </c>
      <c r="U326" s="211" t="s">
        <v>470</v>
      </c>
      <c r="V326" s="210" t="s">
        <v>470</v>
      </c>
      <c r="W326" s="210"/>
      <c r="X326" s="215"/>
      <c r="Y326" s="211"/>
      <c r="Z326" s="211"/>
      <c r="AA326" s="211"/>
      <c r="AH326" s="160">
        <v>44950</v>
      </c>
    </row>
    <row r="327" spans="1:34" x14ac:dyDescent="0.55000000000000004">
      <c r="A327" s="210">
        <v>529</v>
      </c>
      <c r="B327" s="211"/>
      <c r="C327" s="212">
        <v>1617000</v>
      </c>
      <c r="D327" s="212">
        <v>1540000</v>
      </c>
      <c r="E327" s="212">
        <v>1617000</v>
      </c>
      <c r="F327" s="212">
        <v>0</v>
      </c>
      <c r="G327" s="212">
        <v>1617000</v>
      </c>
      <c r="H327" s="212">
        <v>1617000</v>
      </c>
      <c r="I327" s="212">
        <v>1617000</v>
      </c>
      <c r="J327" s="212">
        <v>1617000</v>
      </c>
      <c r="K327" s="212">
        <v>1617000</v>
      </c>
      <c r="L327" s="212">
        <v>1617000</v>
      </c>
      <c r="M327" s="211"/>
      <c r="N327" s="213"/>
      <c r="O327" s="214"/>
      <c r="P327" s="210"/>
      <c r="Q327" s="213"/>
      <c r="R327" s="214"/>
      <c r="S327" s="210"/>
      <c r="T327" s="211" t="s">
        <v>338</v>
      </c>
      <c r="U327" s="211" t="s">
        <v>462</v>
      </c>
      <c r="V327" s="210" t="s">
        <v>432</v>
      </c>
      <c r="W327" s="210"/>
      <c r="X327" s="215">
        <v>44950</v>
      </c>
      <c r="Y327" s="210">
        <v>2023</v>
      </c>
      <c r="Z327" s="210">
        <v>1</v>
      </c>
      <c r="AA327" s="210">
        <v>24</v>
      </c>
      <c r="AH327" s="160">
        <v>44950</v>
      </c>
    </row>
    <row r="328" spans="1:34" x14ac:dyDescent="0.55000000000000004">
      <c r="A328" s="210">
        <v>530</v>
      </c>
      <c r="B328" s="211"/>
      <c r="C328" s="212">
        <v>1460000</v>
      </c>
      <c r="D328" s="212">
        <v>1430000</v>
      </c>
      <c r="E328" s="212">
        <v>1460800</v>
      </c>
      <c r="F328" s="212">
        <v>0</v>
      </c>
      <c r="G328" s="212">
        <v>1460800</v>
      </c>
      <c r="H328" s="212">
        <v>1460800</v>
      </c>
      <c r="I328" s="212">
        <v>1460800</v>
      </c>
      <c r="J328" s="212">
        <v>1460800</v>
      </c>
      <c r="K328" s="212">
        <v>1460800</v>
      </c>
      <c r="L328" s="212">
        <v>1460000</v>
      </c>
      <c r="M328" s="211"/>
      <c r="N328" s="213"/>
      <c r="O328" s="214"/>
      <c r="P328" s="210"/>
      <c r="Q328" s="213"/>
      <c r="R328" s="214"/>
      <c r="S328" s="210"/>
      <c r="T328" s="211" t="s">
        <v>254</v>
      </c>
      <c r="U328" s="211" t="s">
        <v>463</v>
      </c>
      <c r="V328" s="210" t="s">
        <v>432</v>
      </c>
      <c r="W328" s="210"/>
      <c r="X328" s="215">
        <v>44950</v>
      </c>
      <c r="Y328" s="210">
        <v>2023</v>
      </c>
      <c r="Z328" s="210">
        <v>1</v>
      </c>
      <c r="AA328" s="210">
        <v>24</v>
      </c>
      <c r="AH328" s="160">
        <v>44950</v>
      </c>
    </row>
    <row r="329" spans="1:34" x14ac:dyDescent="0.55000000000000004">
      <c r="A329" s="210">
        <v>531</v>
      </c>
      <c r="B329" s="211"/>
      <c r="C329" s="212">
        <v>1463000</v>
      </c>
      <c r="D329" s="212">
        <v>1430000</v>
      </c>
      <c r="E329" s="212">
        <v>1463688</v>
      </c>
      <c r="F329" s="212">
        <v>0</v>
      </c>
      <c r="G329" s="212">
        <v>1463688</v>
      </c>
      <c r="H329" s="212">
        <v>1463688</v>
      </c>
      <c r="I329" s="212">
        <v>1463688</v>
      </c>
      <c r="J329" s="212">
        <v>1463688</v>
      </c>
      <c r="K329" s="212">
        <v>1463688</v>
      </c>
      <c r="L329" s="212">
        <v>1463000</v>
      </c>
      <c r="M329" s="211"/>
      <c r="N329" s="213"/>
      <c r="O329" s="214"/>
      <c r="P329" s="210"/>
      <c r="Q329" s="213"/>
      <c r="R329" s="214"/>
      <c r="S329" s="210"/>
      <c r="T329" s="211" t="s">
        <v>254</v>
      </c>
      <c r="U329" s="211" t="s">
        <v>346</v>
      </c>
      <c r="V329" s="210" t="s">
        <v>432</v>
      </c>
      <c r="W329" s="210"/>
      <c r="X329" s="215">
        <v>44950</v>
      </c>
      <c r="Y329" s="210">
        <v>2023</v>
      </c>
      <c r="Z329" s="210">
        <v>1</v>
      </c>
      <c r="AA329" s="210">
        <v>24</v>
      </c>
      <c r="AH329" s="160">
        <v>44950</v>
      </c>
    </row>
    <row r="330" spans="1:34" x14ac:dyDescent="0.55000000000000004">
      <c r="A330" s="210">
        <v>532</v>
      </c>
      <c r="B330" s="211"/>
      <c r="C330" s="212">
        <v>1232000</v>
      </c>
      <c r="D330" s="212">
        <v>1201951</v>
      </c>
      <c r="E330" s="212">
        <v>1232000</v>
      </c>
      <c r="F330" s="212">
        <v>0</v>
      </c>
      <c r="G330" s="212">
        <v>1232000</v>
      </c>
      <c r="H330" s="212">
        <v>1232000</v>
      </c>
      <c r="I330" s="212">
        <v>1232000</v>
      </c>
      <c r="J330" s="212">
        <v>1232000</v>
      </c>
      <c r="K330" s="212">
        <v>1232000</v>
      </c>
      <c r="L330" s="212">
        <v>1232000</v>
      </c>
      <c r="M330" s="211"/>
      <c r="N330" s="213"/>
      <c r="O330" s="214"/>
      <c r="P330" s="210"/>
      <c r="Q330" s="213"/>
      <c r="R330" s="214"/>
      <c r="S330" s="210"/>
      <c r="T330" s="211" t="s">
        <v>260</v>
      </c>
      <c r="U330" s="211" t="s">
        <v>284</v>
      </c>
      <c r="V330" s="210" t="s">
        <v>432</v>
      </c>
      <c r="W330" s="210"/>
      <c r="X330" s="215">
        <v>44950</v>
      </c>
      <c r="Y330" s="210">
        <v>2023</v>
      </c>
      <c r="Z330" s="210">
        <v>1</v>
      </c>
      <c r="AA330" s="210">
        <v>24</v>
      </c>
      <c r="AH330" s="160"/>
    </row>
    <row r="331" spans="1:34" x14ac:dyDescent="0.55000000000000004">
      <c r="A331" s="210">
        <v>533</v>
      </c>
      <c r="B331" s="211"/>
      <c r="C331" s="212">
        <v>3203000</v>
      </c>
      <c r="D331" s="212">
        <v>3080000</v>
      </c>
      <c r="E331" s="212">
        <v>3203200</v>
      </c>
      <c r="F331" s="212">
        <v>0</v>
      </c>
      <c r="G331" s="212">
        <v>3203200</v>
      </c>
      <c r="H331" s="212">
        <v>3203200</v>
      </c>
      <c r="I331" s="212">
        <v>3203200</v>
      </c>
      <c r="J331" s="212">
        <v>3203200</v>
      </c>
      <c r="K331" s="212">
        <v>3203200</v>
      </c>
      <c r="L331" s="212">
        <v>3203000</v>
      </c>
      <c r="M331" s="211"/>
      <c r="N331" s="213"/>
      <c r="O331" s="214"/>
      <c r="P331" s="210"/>
      <c r="Q331" s="213"/>
      <c r="R331" s="214"/>
      <c r="S331" s="210"/>
      <c r="T331" s="211" t="s">
        <v>464</v>
      </c>
      <c r="U331" s="211" t="s">
        <v>465</v>
      </c>
      <c r="V331" s="210" t="s">
        <v>432</v>
      </c>
      <c r="W331" s="210"/>
      <c r="X331" s="215">
        <v>44950</v>
      </c>
      <c r="Y331" s="210">
        <v>2023</v>
      </c>
      <c r="Z331" s="210">
        <v>1</v>
      </c>
      <c r="AA331" s="210">
        <v>24</v>
      </c>
      <c r="AH331" s="160">
        <v>44950</v>
      </c>
    </row>
    <row r="332" spans="1:34" x14ac:dyDescent="0.55000000000000004">
      <c r="A332" s="210">
        <v>534</v>
      </c>
      <c r="B332" s="211"/>
      <c r="C332" s="212"/>
      <c r="D332" s="212"/>
      <c r="E332" s="212" t="s">
        <v>470</v>
      </c>
      <c r="F332" s="212" t="s">
        <v>470</v>
      </c>
      <c r="G332" s="212" t="s">
        <v>470</v>
      </c>
      <c r="H332" s="212" t="s">
        <v>470</v>
      </c>
      <c r="I332" s="212" t="s">
        <v>470</v>
      </c>
      <c r="J332" s="212" t="s">
        <v>470</v>
      </c>
      <c r="K332" s="212" t="s">
        <v>470</v>
      </c>
      <c r="L332" s="212" t="s">
        <v>470</v>
      </c>
      <c r="M332" s="211"/>
      <c r="N332" s="213"/>
      <c r="O332" s="214"/>
      <c r="P332" s="210"/>
      <c r="Q332" s="213"/>
      <c r="R332" s="214"/>
      <c r="S332" s="210"/>
      <c r="T332" s="211" t="s">
        <v>470</v>
      </c>
      <c r="U332" s="211" t="s">
        <v>470</v>
      </c>
      <c r="V332" s="210" t="s">
        <v>470</v>
      </c>
      <c r="W332" s="210"/>
      <c r="X332" s="215"/>
      <c r="Y332" s="211"/>
      <c r="Z332" s="211"/>
      <c r="AA332" s="211"/>
      <c r="AH332" s="160">
        <v>44950</v>
      </c>
    </row>
    <row r="333" spans="1:34" x14ac:dyDescent="0.55000000000000004">
      <c r="A333" s="210">
        <v>535</v>
      </c>
      <c r="B333" s="211"/>
      <c r="C333" s="212">
        <v>1540000</v>
      </c>
      <c r="D333" s="212">
        <v>1540000</v>
      </c>
      <c r="E333" s="212">
        <v>1540000</v>
      </c>
      <c r="F333" s="212">
        <v>0</v>
      </c>
      <c r="G333" s="212">
        <v>1540000</v>
      </c>
      <c r="H333" s="212">
        <v>1540000</v>
      </c>
      <c r="I333" s="212">
        <v>1540000</v>
      </c>
      <c r="J333" s="212">
        <v>1540000</v>
      </c>
      <c r="K333" s="212">
        <v>1540000</v>
      </c>
      <c r="L333" s="212">
        <v>1540000</v>
      </c>
      <c r="M333" s="211"/>
      <c r="N333" s="213"/>
      <c r="O333" s="214"/>
      <c r="P333" s="210"/>
      <c r="Q333" s="213"/>
      <c r="R333" s="214"/>
      <c r="S333" s="210"/>
      <c r="T333" s="211" t="s">
        <v>466</v>
      </c>
      <c r="U333" s="211" t="s">
        <v>467</v>
      </c>
      <c r="V333" s="210" t="s">
        <v>432</v>
      </c>
      <c r="W333" s="210"/>
      <c r="X333" s="215">
        <v>44950</v>
      </c>
      <c r="Y333" s="210">
        <v>2023</v>
      </c>
      <c r="Z333" s="210">
        <v>1</v>
      </c>
      <c r="AA333" s="210">
        <v>24</v>
      </c>
      <c r="AH333" s="160"/>
    </row>
    <row r="334" spans="1:34" x14ac:dyDescent="0.55000000000000004">
      <c r="A334" s="210">
        <v>536</v>
      </c>
      <c r="B334" s="211"/>
      <c r="C334" s="212">
        <v>1463000</v>
      </c>
      <c r="D334" s="212">
        <v>1430000</v>
      </c>
      <c r="E334" s="212">
        <v>1463688</v>
      </c>
      <c r="F334" s="212">
        <v>0</v>
      </c>
      <c r="G334" s="212">
        <v>1463688</v>
      </c>
      <c r="H334" s="212">
        <v>1463688</v>
      </c>
      <c r="I334" s="212">
        <v>1463688</v>
      </c>
      <c r="J334" s="212">
        <v>1463688</v>
      </c>
      <c r="K334" s="212">
        <v>1463688</v>
      </c>
      <c r="L334" s="212">
        <v>1463000</v>
      </c>
      <c r="M334" s="211"/>
      <c r="N334" s="213"/>
      <c r="O334" s="214"/>
      <c r="P334" s="210"/>
      <c r="Q334" s="213"/>
      <c r="R334" s="214"/>
      <c r="S334" s="210"/>
      <c r="T334" s="211" t="s">
        <v>311</v>
      </c>
      <c r="U334" s="211" t="s">
        <v>270</v>
      </c>
      <c r="V334" s="210" t="s">
        <v>432</v>
      </c>
      <c r="W334" s="210"/>
      <c r="X334" s="215">
        <v>44950</v>
      </c>
      <c r="Y334" s="210">
        <v>2023</v>
      </c>
      <c r="Z334" s="210">
        <v>1</v>
      </c>
      <c r="AA334" s="210">
        <v>24</v>
      </c>
      <c r="AH334" s="160"/>
    </row>
    <row r="335" spans="1:34" x14ac:dyDescent="0.55000000000000004">
      <c r="A335" s="210">
        <v>537</v>
      </c>
      <c r="B335" s="211"/>
      <c r="C335" s="212">
        <v>1617000</v>
      </c>
      <c r="D335" s="212">
        <v>1540000</v>
      </c>
      <c r="E335" s="212">
        <v>1617000</v>
      </c>
      <c r="F335" s="212">
        <v>0</v>
      </c>
      <c r="G335" s="212">
        <v>1617000</v>
      </c>
      <c r="H335" s="212">
        <v>1617000</v>
      </c>
      <c r="I335" s="212">
        <v>1617000</v>
      </c>
      <c r="J335" s="212">
        <v>1617000</v>
      </c>
      <c r="K335" s="212">
        <v>1617000</v>
      </c>
      <c r="L335" s="212">
        <v>1617000</v>
      </c>
      <c r="M335" s="211"/>
      <c r="N335" s="213"/>
      <c r="O335" s="214"/>
      <c r="P335" s="210"/>
      <c r="Q335" s="213"/>
      <c r="R335" s="214"/>
      <c r="S335" s="210"/>
      <c r="T335" s="211" t="s">
        <v>262</v>
      </c>
      <c r="U335" s="211" t="s">
        <v>389</v>
      </c>
      <c r="V335" s="210" t="s">
        <v>432</v>
      </c>
      <c r="W335" s="210"/>
      <c r="X335" s="215">
        <v>44950</v>
      </c>
      <c r="Y335" s="210">
        <v>2023</v>
      </c>
      <c r="Z335" s="210">
        <v>1</v>
      </c>
      <c r="AA335" s="210">
        <v>24</v>
      </c>
      <c r="AH335" s="160">
        <v>44950</v>
      </c>
    </row>
    <row r="336" spans="1:34" x14ac:dyDescent="0.55000000000000004">
      <c r="A336" s="210">
        <v>538</v>
      </c>
      <c r="B336" s="211"/>
      <c r="C336" s="212">
        <v>1509000</v>
      </c>
      <c r="D336" s="212">
        <v>1478495</v>
      </c>
      <c r="E336" s="212">
        <v>1509120</v>
      </c>
      <c r="F336" s="212">
        <v>0</v>
      </c>
      <c r="G336" s="212">
        <v>1509120</v>
      </c>
      <c r="H336" s="212">
        <v>1509120</v>
      </c>
      <c r="I336" s="212">
        <v>1509120</v>
      </c>
      <c r="J336" s="212">
        <v>1509120</v>
      </c>
      <c r="K336" s="212">
        <v>1509120</v>
      </c>
      <c r="L336" s="212">
        <v>1509000</v>
      </c>
      <c r="M336" s="211"/>
      <c r="N336" s="213"/>
      <c r="O336" s="214"/>
      <c r="P336" s="210"/>
      <c r="Q336" s="213"/>
      <c r="R336" s="214"/>
      <c r="S336" s="210"/>
      <c r="T336" s="211" t="s">
        <v>266</v>
      </c>
      <c r="U336" s="211" t="s">
        <v>275</v>
      </c>
      <c r="V336" s="210" t="s">
        <v>432</v>
      </c>
      <c r="W336" s="210"/>
      <c r="X336" s="215">
        <v>44950</v>
      </c>
      <c r="Y336" s="210">
        <v>2023</v>
      </c>
      <c r="Z336" s="210">
        <v>1</v>
      </c>
      <c r="AA336" s="210">
        <v>24</v>
      </c>
      <c r="AH336" s="160">
        <v>44950</v>
      </c>
    </row>
    <row r="337" spans="1:34" x14ac:dyDescent="0.55000000000000004">
      <c r="A337" s="210">
        <v>539</v>
      </c>
      <c r="B337" s="211"/>
      <c r="C337" s="212">
        <v>1540000</v>
      </c>
      <c r="D337" s="212">
        <v>1540000</v>
      </c>
      <c r="E337" s="212">
        <v>1540000</v>
      </c>
      <c r="F337" s="212">
        <v>0</v>
      </c>
      <c r="G337" s="212">
        <v>1540000</v>
      </c>
      <c r="H337" s="212">
        <v>1540000</v>
      </c>
      <c r="I337" s="212">
        <v>1540000</v>
      </c>
      <c r="J337" s="212">
        <v>1540000</v>
      </c>
      <c r="K337" s="212">
        <v>1540000</v>
      </c>
      <c r="L337" s="212">
        <v>1540000</v>
      </c>
      <c r="M337" s="211"/>
      <c r="N337" s="213"/>
      <c r="O337" s="214"/>
      <c r="P337" s="210"/>
      <c r="Q337" s="213"/>
      <c r="R337" s="214"/>
      <c r="S337" s="210"/>
      <c r="T337" s="211" t="s">
        <v>274</v>
      </c>
      <c r="U337" s="211" t="s">
        <v>328</v>
      </c>
      <c r="V337" s="210" t="s">
        <v>432</v>
      </c>
      <c r="W337" s="210"/>
      <c r="X337" s="215">
        <v>44950</v>
      </c>
      <c r="Y337" s="210">
        <v>2023</v>
      </c>
      <c r="Z337" s="210">
        <v>1</v>
      </c>
      <c r="AA337" s="210">
        <v>24</v>
      </c>
      <c r="AH337" s="160"/>
    </row>
    <row r="338" spans="1:34" x14ac:dyDescent="0.55000000000000004">
      <c r="A338" s="210">
        <v>540</v>
      </c>
      <c r="B338" s="211"/>
      <c r="C338" s="212"/>
      <c r="D338" s="212"/>
      <c r="E338" s="212" t="s">
        <v>470</v>
      </c>
      <c r="F338" s="212" t="s">
        <v>470</v>
      </c>
      <c r="G338" s="212" t="s">
        <v>470</v>
      </c>
      <c r="H338" s="212" t="s">
        <v>470</v>
      </c>
      <c r="I338" s="212" t="s">
        <v>470</v>
      </c>
      <c r="J338" s="212" t="s">
        <v>470</v>
      </c>
      <c r="K338" s="212" t="s">
        <v>470</v>
      </c>
      <c r="L338" s="212" t="s">
        <v>470</v>
      </c>
      <c r="M338" s="211"/>
      <c r="N338" s="213"/>
      <c r="O338" s="214"/>
      <c r="P338" s="210"/>
      <c r="Q338" s="213"/>
      <c r="R338" s="214"/>
      <c r="S338" s="210"/>
      <c r="T338" s="211" t="s">
        <v>470</v>
      </c>
      <c r="U338" s="211" t="s">
        <v>470</v>
      </c>
      <c r="V338" s="210" t="s">
        <v>470</v>
      </c>
      <c r="W338" s="210"/>
      <c r="X338" s="215"/>
      <c r="Y338" s="211"/>
      <c r="Z338" s="211"/>
      <c r="AA338" s="211"/>
      <c r="AH338" s="160">
        <v>44950</v>
      </c>
    </row>
    <row r="339" spans="1:34" x14ac:dyDescent="0.55000000000000004">
      <c r="A339" s="210">
        <v>541</v>
      </c>
      <c r="B339" s="211"/>
      <c r="C339" s="212">
        <v>1509000</v>
      </c>
      <c r="D339" s="212">
        <v>1478495</v>
      </c>
      <c r="E339" s="212">
        <v>1509120</v>
      </c>
      <c r="F339" s="212">
        <v>0</v>
      </c>
      <c r="G339" s="212">
        <v>1509120</v>
      </c>
      <c r="H339" s="212">
        <v>1509120</v>
      </c>
      <c r="I339" s="212">
        <v>1509120</v>
      </c>
      <c r="J339" s="212">
        <v>1509120</v>
      </c>
      <c r="K339" s="212">
        <v>1509120</v>
      </c>
      <c r="L339" s="212">
        <v>1509000</v>
      </c>
      <c r="M339" s="211"/>
      <c r="N339" s="213"/>
      <c r="O339" s="214"/>
      <c r="P339" s="210"/>
      <c r="Q339" s="213"/>
      <c r="R339" s="214"/>
      <c r="S339" s="210"/>
      <c r="T339" s="211" t="s">
        <v>334</v>
      </c>
      <c r="U339" s="211" t="s">
        <v>296</v>
      </c>
      <c r="V339" s="210" t="s">
        <v>432</v>
      </c>
      <c r="W339" s="210"/>
      <c r="X339" s="215">
        <v>44950</v>
      </c>
      <c r="Y339" s="210">
        <v>2023</v>
      </c>
      <c r="Z339" s="210">
        <v>1</v>
      </c>
      <c r="AA339" s="210">
        <v>24</v>
      </c>
      <c r="AH339" s="160">
        <v>44950</v>
      </c>
    </row>
    <row r="340" spans="1:34" x14ac:dyDescent="0.55000000000000004">
      <c r="A340" s="210">
        <v>542</v>
      </c>
      <c r="B340" s="211"/>
      <c r="C340" s="212">
        <v>1617000</v>
      </c>
      <c r="D340" s="212">
        <v>1540000</v>
      </c>
      <c r="E340" s="212">
        <v>1617000</v>
      </c>
      <c r="F340" s="212">
        <v>0</v>
      </c>
      <c r="G340" s="212">
        <v>1617000</v>
      </c>
      <c r="H340" s="212">
        <v>1617000</v>
      </c>
      <c r="I340" s="212">
        <v>1617000</v>
      </c>
      <c r="J340" s="212">
        <v>1617000</v>
      </c>
      <c r="K340" s="212">
        <v>1617000</v>
      </c>
      <c r="L340" s="212">
        <v>1617000</v>
      </c>
      <c r="M340" s="211"/>
      <c r="N340" s="213"/>
      <c r="O340" s="214"/>
      <c r="P340" s="210"/>
      <c r="Q340" s="213"/>
      <c r="R340" s="214"/>
      <c r="S340" s="210"/>
      <c r="T340" s="211" t="s">
        <v>468</v>
      </c>
      <c r="U340" s="211" t="s">
        <v>342</v>
      </c>
      <c r="V340" s="210" t="s">
        <v>432</v>
      </c>
      <c r="W340" s="210"/>
      <c r="X340" s="215">
        <v>44950</v>
      </c>
      <c r="Y340" s="210">
        <v>2023</v>
      </c>
      <c r="Z340" s="210">
        <v>1</v>
      </c>
      <c r="AA340" s="210">
        <v>24</v>
      </c>
      <c r="AH340" s="160">
        <v>44950</v>
      </c>
    </row>
    <row r="341" spans="1:34" x14ac:dyDescent="0.55000000000000004">
      <c r="A341" s="210">
        <v>543</v>
      </c>
      <c r="B341" s="211"/>
      <c r="C341" s="212">
        <v>1540000</v>
      </c>
      <c r="D341" s="212">
        <v>1540000</v>
      </c>
      <c r="E341" s="212">
        <v>1540000</v>
      </c>
      <c r="F341" s="212">
        <v>0</v>
      </c>
      <c r="G341" s="212">
        <v>1540000</v>
      </c>
      <c r="H341" s="212">
        <v>1540000</v>
      </c>
      <c r="I341" s="212">
        <v>1540000</v>
      </c>
      <c r="J341" s="212">
        <v>1540000</v>
      </c>
      <c r="K341" s="212">
        <v>1540000</v>
      </c>
      <c r="L341" s="212">
        <v>1540000</v>
      </c>
      <c r="M341" s="211"/>
      <c r="N341" s="213"/>
      <c r="O341" s="214"/>
      <c r="P341" s="210"/>
      <c r="Q341" s="213"/>
      <c r="R341" s="214"/>
      <c r="S341" s="210"/>
      <c r="T341" s="211" t="s">
        <v>256</v>
      </c>
      <c r="U341" s="211" t="s">
        <v>342</v>
      </c>
      <c r="V341" s="210" t="s">
        <v>432</v>
      </c>
      <c r="W341" s="210"/>
      <c r="X341" s="215">
        <v>44950</v>
      </c>
      <c r="Y341" s="210">
        <v>2023</v>
      </c>
      <c r="Z341" s="210">
        <v>1</v>
      </c>
      <c r="AA341" s="210">
        <v>24</v>
      </c>
      <c r="AH341" s="160">
        <v>44950</v>
      </c>
    </row>
    <row r="342" spans="1:34" x14ac:dyDescent="0.55000000000000004">
      <c r="A342" s="210">
        <v>544</v>
      </c>
      <c r="B342" s="211"/>
      <c r="C342" s="212"/>
      <c r="D342" s="212"/>
      <c r="E342" s="212" t="s">
        <v>470</v>
      </c>
      <c r="F342" s="212" t="s">
        <v>470</v>
      </c>
      <c r="G342" s="212" t="s">
        <v>470</v>
      </c>
      <c r="H342" s="212" t="s">
        <v>470</v>
      </c>
      <c r="I342" s="212" t="s">
        <v>470</v>
      </c>
      <c r="J342" s="212" t="s">
        <v>470</v>
      </c>
      <c r="K342" s="212" t="s">
        <v>470</v>
      </c>
      <c r="L342" s="212" t="s">
        <v>470</v>
      </c>
      <c r="M342" s="211"/>
      <c r="N342" s="213"/>
      <c r="O342" s="214"/>
      <c r="P342" s="210"/>
      <c r="Q342" s="213"/>
      <c r="R342" s="214"/>
      <c r="S342" s="210"/>
      <c r="T342" s="211" t="s">
        <v>470</v>
      </c>
      <c r="U342" s="211" t="s">
        <v>470</v>
      </c>
      <c r="V342" s="210" t="s">
        <v>470</v>
      </c>
      <c r="W342" s="210"/>
      <c r="X342" s="215"/>
      <c r="Y342" s="211"/>
      <c r="Z342" s="211"/>
      <c r="AA342" s="211"/>
      <c r="AH342" s="160">
        <v>44950</v>
      </c>
    </row>
    <row r="343" spans="1:34" x14ac:dyDescent="0.55000000000000004">
      <c r="A343" s="210">
        <v>545</v>
      </c>
      <c r="B343" s="211"/>
      <c r="C343" s="212">
        <v>1540000</v>
      </c>
      <c r="D343" s="212">
        <v>1540000</v>
      </c>
      <c r="E343" s="212">
        <v>1540000</v>
      </c>
      <c r="F343" s="212">
        <v>0</v>
      </c>
      <c r="G343" s="212">
        <v>1540000</v>
      </c>
      <c r="H343" s="212">
        <v>1540000</v>
      </c>
      <c r="I343" s="212">
        <v>1540000</v>
      </c>
      <c r="J343" s="212">
        <v>1540000</v>
      </c>
      <c r="K343" s="212">
        <v>1540000</v>
      </c>
      <c r="L343" s="212">
        <v>1540000</v>
      </c>
      <c r="M343" s="211"/>
      <c r="N343" s="213"/>
      <c r="O343" s="214"/>
      <c r="P343" s="210"/>
      <c r="Q343" s="213"/>
      <c r="R343" s="214"/>
      <c r="S343" s="210"/>
      <c r="T343" s="211" t="s">
        <v>276</v>
      </c>
      <c r="U343" s="211" t="s">
        <v>347</v>
      </c>
      <c r="V343" s="210" t="s">
        <v>432</v>
      </c>
      <c r="W343" s="210"/>
      <c r="X343" s="215">
        <v>44950</v>
      </c>
      <c r="Y343" s="210">
        <v>2023</v>
      </c>
      <c r="Z343" s="210">
        <v>1</v>
      </c>
      <c r="AA343" s="210">
        <v>24</v>
      </c>
      <c r="AH343" s="160"/>
    </row>
    <row r="344" spans="1:34" x14ac:dyDescent="0.55000000000000004">
      <c r="A344" s="210">
        <v>546</v>
      </c>
      <c r="B344" s="211"/>
      <c r="C344" s="212">
        <v>1369000</v>
      </c>
      <c r="D344" s="212">
        <v>1369000</v>
      </c>
      <c r="E344" s="212">
        <v>1369495</v>
      </c>
      <c r="F344" s="212">
        <v>0</v>
      </c>
      <c r="G344" s="212">
        <v>1369495</v>
      </c>
      <c r="H344" s="212">
        <v>1369495</v>
      </c>
      <c r="I344" s="212">
        <v>1369495</v>
      </c>
      <c r="J344" s="212">
        <v>1369495</v>
      </c>
      <c r="K344" s="212">
        <v>1369495</v>
      </c>
      <c r="L344" s="212">
        <v>1369000</v>
      </c>
      <c r="M344" s="211"/>
      <c r="N344" s="213"/>
      <c r="O344" s="214"/>
      <c r="P344" s="210"/>
      <c r="Q344" s="213"/>
      <c r="R344" s="214"/>
      <c r="S344" s="210"/>
      <c r="T344" s="211" t="s">
        <v>264</v>
      </c>
      <c r="U344" s="211" t="s">
        <v>342</v>
      </c>
      <c r="V344" s="210" t="s">
        <v>432</v>
      </c>
      <c r="W344" s="210"/>
      <c r="X344" s="215">
        <v>44978</v>
      </c>
      <c r="Y344" s="210">
        <v>2023</v>
      </c>
      <c r="Z344" s="210">
        <v>2</v>
      </c>
      <c r="AA344" s="210">
        <v>21</v>
      </c>
      <c r="AH344" s="160">
        <v>44950</v>
      </c>
    </row>
    <row r="345" spans="1:34" x14ac:dyDescent="0.55000000000000004">
      <c r="A345" s="210">
        <v>547</v>
      </c>
      <c r="B345" s="211"/>
      <c r="C345" s="212">
        <v>1369000</v>
      </c>
      <c r="D345" s="212">
        <v>1369000</v>
      </c>
      <c r="E345" s="212">
        <v>1369495</v>
      </c>
      <c r="F345" s="212">
        <v>0</v>
      </c>
      <c r="G345" s="212">
        <v>1369495</v>
      </c>
      <c r="H345" s="212">
        <v>1369495</v>
      </c>
      <c r="I345" s="212">
        <v>1369495</v>
      </c>
      <c r="J345" s="212">
        <v>1369495</v>
      </c>
      <c r="K345" s="212">
        <v>1369495</v>
      </c>
      <c r="L345" s="212">
        <v>1369000</v>
      </c>
      <c r="M345" s="211"/>
      <c r="N345" s="213"/>
      <c r="O345" s="214"/>
      <c r="P345" s="210"/>
      <c r="Q345" s="213"/>
      <c r="R345" s="214"/>
      <c r="S345" s="210"/>
      <c r="T345" s="211" t="s">
        <v>471</v>
      </c>
      <c r="U345" s="211" t="s">
        <v>469</v>
      </c>
      <c r="V345" s="210" t="s">
        <v>432</v>
      </c>
      <c r="W345" s="210"/>
      <c r="X345" s="215">
        <v>44978</v>
      </c>
      <c r="Y345" s="210">
        <v>2023</v>
      </c>
      <c r="Z345" s="210">
        <v>2</v>
      </c>
      <c r="AA345" s="210">
        <v>21</v>
      </c>
      <c r="AH345" s="160">
        <v>44950</v>
      </c>
    </row>
    <row r="346" spans="1:34" x14ac:dyDescent="0.55000000000000004">
      <c r="AH346" s="160">
        <v>44950</v>
      </c>
    </row>
    <row r="347" spans="1:34" x14ac:dyDescent="0.55000000000000004">
      <c r="AH347" s="160">
        <v>44950</v>
      </c>
    </row>
    <row r="348" spans="1:34" x14ac:dyDescent="0.55000000000000004">
      <c r="AH348" s="160"/>
    </row>
    <row r="349" spans="1:34" x14ac:dyDescent="0.55000000000000004">
      <c r="AH349" s="160">
        <v>44950</v>
      </c>
    </row>
    <row r="350" spans="1:34" x14ac:dyDescent="0.55000000000000004">
      <c r="AH350" s="160">
        <v>44950</v>
      </c>
    </row>
    <row r="351" spans="1:34" x14ac:dyDescent="0.55000000000000004">
      <c r="AH351" s="160">
        <v>44950</v>
      </c>
    </row>
    <row r="352" spans="1:34" x14ac:dyDescent="0.55000000000000004">
      <c r="AH352" s="160"/>
    </row>
    <row r="353" spans="34:34" x14ac:dyDescent="0.55000000000000004">
      <c r="AH353" s="160">
        <v>44950</v>
      </c>
    </row>
    <row r="354" spans="34:34" x14ac:dyDescent="0.55000000000000004">
      <c r="AH354" s="160"/>
    </row>
    <row r="355" spans="34:34" x14ac:dyDescent="0.55000000000000004">
      <c r="AH355" s="160"/>
    </row>
    <row r="356" spans="34:34" x14ac:dyDescent="0.55000000000000004">
      <c r="AH356" s="160"/>
    </row>
  </sheetData>
  <autoFilter ref="A1:W1" xr:uid="{00000000-0009-0000-0000-000008000000}"/>
  <phoneticPr fontId="1"/>
  <pageMargins left="0.70866141732283472" right="0.70866141732283472" top="0.74803149606299213" bottom="0.74803149606299213"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転記用</vt:lpstr>
      <vt:lpstr>はじめに入力してください</vt:lpstr>
      <vt:lpstr>振込先情報</vt:lpstr>
      <vt:lpstr>請求書</vt:lpstr>
      <vt:lpstr>表紙</vt:lpstr>
      <vt:lpstr>所要額調書</vt:lpstr>
      <vt:lpstr>実施計画書</vt:lpstr>
      <vt:lpstr>予算書抄本</vt:lpstr>
      <vt:lpstr>リスト</vt:lpstr>
      <vt:lpstr>はじめに入力してください!Print_Area</vt:lpstr>
      <vt:lpstr>リスト!Print_Area</vt:lpstr>
      <vt:lpstr>実施計画書!Print_Area</vt:lpstr>
      <vt:lpstr>所要額調書!Print_Area</vt:lpstr>
      <vt:lpstr>振込先情報!Print_Area</vt:lpstr>
      <vt:lpstr>請求書!Print_Area</vt:lpstr>
      <vt:lpstr>表紙!Print_Area</vt:lpstr>
      <vt:lpstr>予算書抄本!Print_Area</vt:lpstr>
      <vt:lpstr>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2022-08-12T02:18:06Z</cp:lastPrinted>
  <dcterms:created xsi:type="dcterms:W3CDTF">2021-01-14T08:33:35Z</dcterms:created>
  <dcterms:modified xsi:type="dcterms:W3CDTF">2023-03-09T01:28:59Z</dcterms:modified>
</cp:coreProperties>
</file>