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37018100\Desktop\HP更新\改正案\承認工事について\"/>
    </mc:Choice>
  </mc:AlternateContent>
  <bookViews>
    <workbookView xWindow="0" yWindow="0" windowWidth="20460" windowHeight="7215" tabRatio="682"/>
  </bookViews>
  <sheets>
    <sheet name="１条件記入、流下能力算定" sheetId="7" r:id="rId1"/>
    <sheet name="２判定（市街化区域）" sheetId="2" r:id="rId2"/>
    <sheet name="３抑制対策（市街化区域）" sheetId="8" r:id="rId3"/>
    <sheet name="２判定（調整区域）" sheetId="3" r:id="rId4"/>
    <sheet name="３抑制対策（調整区域）" sheetId="9" r:id="rId5"/>
  </sheets>
  <definedNames>
    <definedName name="_xlnm._FilterDatabase" localSheetId="1" hidden="1">'２判定（市街化区域）'!#REF!</definedName>
    <definedName name="_xlnm._FilterDatabase" localSheetId="3" hidden="1">'２判定（調整区域）'!#REF!</definedName>
    <definedName name="_xlnm._FilterDatabase" localSheetId="2" hidden="1">'３抑制対策（市街化区域）'!#REF!</definedName>
    <definedName name="_xlnm._FilterDatabase" localSheetId="4" hidden="1">'３抑制対策（調整区域）'!#REF!</definedName>
    <definedName name="_xlnm.Print_Area" localSheetId="0">'１条件記入、流下能力算定'!$A$1:$N$58</definedName>
    <definedName name="_xlnm.Print_Area" localSheetId="1">'２判定（市街化区域）'!$A$1:$W$48</definedName>
    <definedName name="_xlnm.Print_Area" localSheetId="3">'２判定（調整区域）'!$A$1:$W$83</definedName>
    <definedName name="_xlnm.Print_Area" localSheetId="2">'３抑制対策（市街化区域）'!$A$1:$X$218</definedName>
    <definedName name="_xlnm.Print_Area" localSheetId="4">'３抑制対策（調整区域）'!$A$1:$X$206</definedName>
  </definedNames>
  <calcPr calcId="162913"/>
</workbook>
</file>

<file path=xl/calcChain.xml><?xml version="1.0" encoding="utf-8"?>
<calcChain xmlns="http://schemas.openxmlformats.org/spreadsheetml/2006/main">
  <c r="B45" i="2" l="1"/>
  <c r="M37" i="9"/>
  <c r="B37" i="9"/>
  <c r="U33" i="2"/>
  <c r="U24" i="3"/>
  <c r="U25" i="3"/>
  <c r="F24" i="3"/>
  <c r="D37" i="7"/>
  <c r="U28" i="3"/>
  <c r="F28" i="3"/>
  <c r="U29" i="3"/>
  <c r="V30" i="3"/>
  <c r="U32" i="3"/>
  <c r="U36" i="3"/>
  <c r="U37" i="3"/>
  <c r="F36" i="3"/>
  <c r="U40" i="3"/>
  <c r="U41" i="3"/>
  <c r="U44" i="3"/>
  <c r="F44" i="3"/>
  <c r="U45" i="3"/>
  <c r="D56" i="7"/>
  <c r="J56" i="7"/>
  <c r="M47" i="7"/>
  <c r="N32" i="7"/>
  <c r="K5" i="7"/>
  <c r="K6" i="7"/>
  <c r="M5" i="7"/>
  <c r="M6" i="7"/>
  <c r="J20" i="7"/>
  <c r="I21" i="7"/>
  <c r="U29" i="2"/>
  <c r="F29" i="2"/>
  <c r="K7" i="7"/>
  <c r="K8" i="7"/>
  <c r="K9" i="7"/>
  <c r="K10" i="7"/>
  <c r="K11" i="7"/>
  <c r="K12" i="7"/>
  <c r="I1" i="7"/>
  <c r="F55" i="7"/>
  <c r="F51" i="7"/>
  <c r="D8" i="7"/>
  <c r="D36" i="7"/>
  <c r="D41" i="7"/>
  <c r="D51" i="7"/>
  <c r="D55" i="7"/>
  <c r="D53" i="7"/>
  <c r="J53" i="7"/>
  <c r="U28" i="2"/>
  <c r="W28" i="2"/>
  <c r="K13" i="7"/>
  <c r="K14" i="7"/>
  <c r="K15" i="7"/>
  <c r="K16" i="7"/>
  <c r="K17" i="7"/>
  <c r="K18" i="7"/>
  <c r="K19" i="7"/>
  <c r="U148" i="9"/>
  <c r="U138" i="9"/>
  <c r="U139" i="9"/>
  <c r="I139" i="9"/>
  <c r="H137" i="9"/>
  <c r="G131" i="9"/>
  <c r="G146" i="9"/>
  <c r="G149" i="9"/>
  <c r="Q18" i="9"/>
  <c r="I141" i="9"/>
  <c r="I143" i="9"/>
  <c r="U103" i="9"/>
  <c r="U96" i="9"/>
  <c r="U97" i="9"/>
  <c r="I98" i="9"/>
  <c r="U187" i="9"/>
  <c r="U178" i="9"/>
  <c r="H178" i="9"/>
  <c r="G172" i="9"/>
  <c r="G185" i="9"/>
  <c r="G188" i="9"/>
  <c r="Q19" i="9"/>
  <c r="U179" i="9"/>
  <c r="I180" i="9"/>
  <c r="U60" i="9"/>
  <c r="G64" i="9"/>
  <c r="U16" i="9"/>
  <c r="U55" i="9"/>
  <c r="H55" i="9"/>
  <c r="G49" i="9"/>
  <c r="G58" i="9"/>
  <c r="G61" i="9"/>
  <c r="Q16" i="9"/>
  <c r="U155" i="9"/>
  <c r="U153" i="9"/>
  <c r="J160" i="9"/>
  <c r="H158" i="9"/>
  <c r="U154" i="9"/>
  <c r="U110" i="9"/>
  <c r="U109" i="9"/>
  <c r="H110" i="9"/>
  <c r="G107" i="9"/>
  <c r="U17" i="9"/>
  <c r="U194" i="9"/>
  <c r="U193" i="9"/>
  <c r="U192" i="9"/>
  <c r="H194" i="9"/>
  <c r="I182" i="9"/>
  <c r="U206" i="8"/>
  <c r="U204" i="8"/>
  <c r="H206" i="8"/>
  <c r="U205" i="8"/>
  <c r="U190" i="8"/>
  <c r="U191" i="8"/>
  <c r="U199" i="8"/>
  <c r="I192" i="8"/>
  <c r="U167" i="8"/>
  <c r="U165" i="8"/>
  <c r="J172" i="8"/>
  <c r="U166" i="8"/>
  <c r="H167" i="8"/>
  <c r="U150" i="8"/>
  <c r="U151" i="8"/>
  <c r="I153" i="8"/>
  <c r="U160" i="8"/>
  <c r="I194" i="8"/>
  <c r="T14" i="8"/>
  <c r="U24" i="2"/>
  <c r="U25" i="2"/>
  <c r="U32" i="2"/>
  <c r="U121" i="8"/>
  <c r="U122" i="8"/>
  <c r="H122" i="8"/>
  <c r="G119" i="8"/>
  <c r="U29" i="8"/>
  <c r="U108" i="8"/>
  <c r="U109" i="8"/>
  <c r="I110" i="8"/>
  <c r="H108" i="8"/>
  <c r="G102" i="8"/>
  <c r="G113" i="8"/>
  <c r="G116" i="8"/>
  <c r="Q29" i="8"/>
  <c r="U72" i="8"/>
  <c r="G76" i="8"/>
  <c r="U28" i="8"/>
  <c r="U67" i="8"/>
  <c r="H67" i="8"/>
  <c r="G61" i="8"/>
  <c r="G70" i="8"/>
  <c r="G73" i="8"/>
  <c r="Q28" i="8"/>
  <c r="U115" i="8"/>
  <c r="N28" i="7"/>
  <c r="N29" i="7"/>
  <c r="N30" i="7"/>
  <c r="N31" i="7"/>
  <c r="N47" i="7"/>
  <c r="L48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H125" i="8"/>
  <c r="H113" i="9"/>
  <c r="J199" i="9"/>
  <c r="K20" i="7"/>
  <c r="K22" i="7"/>
  <c r="F40" i="3"/>
  <c r="G164" i="8"/>
  <c r="U30" i="8"/>
  <c r="H96" i="9"/>
  <c r="G90" i="9"/>
  <c r="G101" i="9"/>
  <c r="G104" i="9"/>
  <c r="Q17" i="9"/>
  <c r="Q23" i="9"/>
  <c r="H170" i="8"/>
  <c r="I151" i="8"/>
  <c r="J211" i="8"/>
  <c r="H209" i="8"/>
  <c r="G203" i="8"/>
  <c r="U31" i="8"/>
  <c r="H197" i="9"/>
  <c r="G191" i="9"/>
  <c r="U19" i="9"/>
  <c r="H190" i="8"/>
  <c r="G184" i="8"/>
  <c r="G197" i="8"/>
  <c r="G200" i="8"/>
  <c r="Q31" i="8"/>
  <c r="H155" i="9"/>
  <c r="G152" i="9"/>
  <c r="U18" i="9"/>
  <c r="I155" i="8"/>
  <c r="D20" i="7"/>
  <c r="U33" i="3"/>
  <c r="F32" i="3"/>
  <c r="U35" i="8"/>
  <c r="O32" i="9"/>
  <c r="U23" i="9"/>
  <c r="H149" i="8"/>
  <c r="G143" i="8"/>
  <c r="G158" i="8"/>
  <c r="G161" i="8"/>
  <c r="Q30" i="8"/>
  <c r="Q35" i="8"/>
  <c r="O44" i="8"/>
  <c r="M20" i="7"/>
  <c r="L21" i="7"/>
  <c r="U27" i="2"/>
  <c r="F27" i="2"/>
  <c r="F25" i="2"/>
  <c r="T15" i="8"/>
  <c r="F47" i="3"/>
  <c r="F53" i="3"/>
  <c r="D54" i="7"/>
  <c r="J54" i="7"/>
  <c r="D52" i="7"/>
  <c r="D58" i="7"/>
  <c r="F31" i="2"/>
  <c r="F37" i="2"/>
  <c r="U30" i="2"/>
  <c r="F40" i="2"/>
  <c r="F55" i="3"/>
  <c r="M61" i="3"/>
  <c r="B61" i="3"/>
  <c r="M45" i="2"/>
  <c r="I14" i="8"/>
  <c r="S59" i="3"/>
  <c r="G66" i="3"/>
  <c r="G67" i="3"/>
  <c r="E32" i="9"/>
  <c r="S35" i="9"/>
  <c r="S43" i="2"/>
  <c r="I15" i="8"/>
  <c r="G8" i="8"/>
  <c r="G10" i="8"/>
  <c r="G11" i="8"/>
  <c r="E44" i="8"/>
  <c r="S47" i="8"/>
  <c r="B49" i="8"/>
  <c r="M49" i="8"/>
</calcChain>
</file>

<file path=xl/sharedStrings.xml><?xml version="1.0" encoding="utf-8"?>
<sst xmlns="http://schemas.openxmlformats.org/spreadsheetml/2006/main" count="1025" uniqueCount="431">
  <si>
    <t>【浸透枡（正方形）側面・底面】　ｗ≦1m</t>
    <rPh sb="1" eb="4">
      <t>シントウマス</t>
    </rPh>
    <rPh sb="5" eb="8">
      <t>セイホウケイ</t>
    </rPh>
    <rPh sb="9" eb="11">
      <t>ソクメン</t>
    </rPh>
    <rPh sb="12" eb="14">
      <t>テイメン</t>
    </rPh>
    <phoneticPr fontId="2"/>
  </si>
  <si>
    <t>係数ｃ</t>
    <rPh sb="0" eb="2">
      <t>ケイスウ</t>
    </rPh>
    <phoneticPr fontId="2"/>
  </si>
  <si>
    <t>0.120 * 施設幅W + 0.985</t>
    <rPh sb="8" eb="10">
      <t>シセツ</t>
    </rPh>
    <rPh sb="10" eb="11">
      <t>ハバ</t>
    </rPh>
    <phoneticPr fontId="2"/>
  </si>
  <si>
    <t>7.837 * 施設幅W + 0.82</t>
    <rPh sb="8" eb="10">
      <t>シセツ</t>
    </rPh>
    <rPh sb="10" eb="11">
      <t>ハバ</t>
    </rPh>
    <phoneticPr fontId="2"/>
  </si>
  <si>
    <t>2.858 * 施設幅W - 0.283</t>
    <rPh sb="8" eb="10">
      <t>シセツ</t>
    </rPh>
    <rPh sb="10" eb="11">
      <t>ハバ</t>
    </rPh>
    <phoneticPr fontId="2"/>
  </si>
  <si>
    <t>合　　計</t>
    <rPh sb="0" eb="1">
      <t>ゴウ</t>
    </rPh>
    <rPh sb="3" eb="4">
      <t>ケイ</t>
    </rPh>
    <phoneticPr fontId="2"/>
  </si>
  <si>
    <t>浸透対策量合計　＋　貯留効果合計</t>
    <rPh sb="5" eb="7">
      <t>ゴウケイ</t>
    </rPh>
    <rPh sb="14" eb="16">
      <t>ゴウケイ</t>
    </rPh>
    <phoneticPr fontId="2"/>
  </si>
  <si>
    <t>標準流出係数</t>
    <rPh sb="0" eb="2">
      <t>ヒョウジュン</t>
    </rPh>
    <rPh sb="2" eb="4">
      <t>リュウシュツ</t>
    </rPh>
    <rPh sb="4" eb="6">
      <t>ケイスウ</t>
    </rPh>
    <phoneticPr fontId="2"/>
  </si>
  <si>
    <t>面積</t>
    <rPh sb="0" eb="2">
      <t>メンセキ</t>
    </rPh>
    <phoneticPr fontId="2"/>
  </si>
  <si>
    <t>土</t>
    <rPh sb="0" eb="1">
      <t>ツチ</t>
    </rPh>
    <phoneticPr fontId="2"/>
  </si>
  <si>
    <t>岩盤</t>
    <rPh sb="0" eb="2">
      <t>ガンバン</t>
    </rPh>
    <phoneticPr fontId="2"/>
  </si>
  <si>
    <t>勾配０～２％</t>
    <rPh sb="0" eb="2">
      <t>コウバイ</t>
    </rPh>
    <phoneticPr fontId="2"/>
  </si>
  <si>
    <t>勾配２～７％</t>
    <rPh sb="0" eb="2">
      <t>コウバイ</t>
    </rPh>
    <phoneticPr fontId="2"/>
  </si>
  <si>
    <t>勾配７％以上</t>
    <rPh sb="0" eb="2">
      <t>コウバイ</t>
    </rPh>
    <rPh sb="4" eb="6">
      <t>イジョウ</t>
    </rPh>
    <phoneticPr fontId="2"/>
  </si>
  <si>
    <t>屋根</t>
    <rPh sb="0" eb="2">
      <t>ヤネ</t>
    </rPh>
    <phoneticPr fontId="2"/>
  </si>
  <si>
    <t>勾配の緩い山地</t>
    <rPh sb="0" eb="2">
      <t>コウバイ</t>
    </rPh>
    <rPh sb="3" eb="4">
      <t>ユル</t>
    </rPh>
    <rPh sb="5" eb="7">
      <t>サンチ</t>
    </rPh>
    <phoneticPr fontId="2"/>
  </si>
  <si>
    <t>勾配の急な山地</t>
    <rPh sb="0" eb="2">
      <t>コウバイ</t>
    </rPh>
    <rPh sb="3" eb="4">
      <t>キュウ</t>
    </rPh>
    <rPh sb="5" eb="7">
      <t>サンチ</t>
    </rPh>
    <phoneticPr fontId="2"/>
  </si>
  <si>
    <t>田、水面</t>
    <rPh sb="0" eb="1">
      <t>タ</t>
    </rPh>
    <rPh sb="2" eb="4">
      <t>スイメン</t>
    </rPh>
    <phoneticPr fontId="2"/>
  </si>
  <si>
    <t>平均流出係数</t>
    <rPh sb="0" eb="2">
      <t>ヘイキン</t>
    </rPh>
    <rPh sb="2" eb="4">
      <t>リュウシュツ</t>
    </rPh>
    <rPh sb="4" eb="6">
      <t>ケイスウ</t>
    </rPh>
    <phoneticPr fontId="2"/>
  </si>
  <si>
    <t>合計</t>
    <rPh sb="0" eb="2">
      <t>ゴウケイ</t>
    </rPh>
    <phoneticPr fontId="2"/>
  </si>
  <si>
    <t>宅地</t>
    <rPh sb="0" eb="2">
      <t>タクチ</t>
    </rPh>
    <phoneticPr fontId="2"/>
  </si>
  <si>
    <t>建ぺい率６０％</t>
    <rPh sb="0" eb="1">
      <t>ケン</t>
    </rPh>
    <rPh sb="3" eb="4">
      <t>リツ</t>
    </rPh>
    <phoneticPr fontId="2"/>
  </si>
  <si>
    <t>建ぺい率８０％</t>
    <rPh sb="0" eb="1">
      <t>ケン</t>
    </rPh>
    <rPh sb="3" eb="4">
      <t>リツ</t>
    </rPh>
    <phoneticPr fontId="2"/>
  </si>
  <si>
    <t>ｍ</t>
    <phoneticPr fontId="2"/>
  </si>
  <si>
    <t>日平均汚水量</t>
    <rPh sb="0" eb="1">
      <t>ニチ</t>
    </rPh>
    <rPh sb="1" eb="3">
      <t>ヘイキン</t>
    </rPh>
    <rPh sb="3" eb="5">
      <t>オスイ</t>
    </rPh>
    <rPh sb="5" eb="6">
      <t>リョウ</t>
    </rPh>
    <phoneticPr fontId="2"/>
  </si>
  <si>
    <t>申請地</t>
    <rPh sb="0" eb="2">
      <t>シンセイ</t>
    </rPh>
    <rPh sb="2" eb="3">
      <t>チ</t>
    </rPh>
    <phoneticPr fontId="2"/>
  </si>
  <si>
    <t>間口</t>
    <rPh sb="0" eb="2">
      <t>マグチ</t>
    </rPh>
    <phoneticPr fontId="2"/>
  </si>
  <si>
    <t>法面</t>
    <rPh sb="0" eb="1">
      <t>ノリ</t>
    </rPh>
    <rPh sb="1" eb="2">
      <t>メン</t>
    </rPh>
    <phoneticPr fontId="2"/>
  </si>
  <si>
    <t>㎡</t>
    <phoneticPr fontId="2"/>
  </si>
  <si>
    <t>＝</t>
    <phoneticPr fontId="2"/>
  </si>
  <si>
    <t>＝</t>
    <phoneticPr fontId="2"/>
  </si>
  <si>
    <t>ｍ</t>
    <phoneticPr fontId="2"/>
  </si>
  <si>
    <t>沿道敷地</t>
    <rPh sb="0" eb="2">
      <t>エンドウ</t>
    </rPh>
    <rPh sb="2" eb="4">
      <t>シキチ</t>
    </rPh>
    <phoneticPr fontId="2"/>
  </si>
  <si>
    <t>共通</t>
    <rPh sb="0" eb="2">
      <t>キョウツウ</t>
    </rPh>
    <phoneticPr fontId="2"/>
  </si>
  <si>
    <t>種類（区域別に数字を入力）</t>
    <rPh sb="0" eb="2">
      <t>シュルイ</t>
    </rPh>
    <rPh sb="3" eb="5">
      <t>クイキ</t>
    </rPh>
    <rPh sb="5" eb="6">
      <t>ベツ</t>
    </rPh>
    <rPh sb="7" eb="9">
      <t>スウジ</t>
    </rPh>
    <rPh sb="10" eb="12">
      <t>ニュウリョク</t>
    </rPh>
    <phoneticPr fontId="2"/>
  </si>
  <si>
    <t>側溝幅</t>
    <rPh sb="0" eb="2">
      <t>ソッコウ</t>
    </rPh>
    <rPh sb="2" eb="3">
      <t>ハバ</t>
    </rPh>
    <phoneticPr fontId="2"/>
  </si>
  <si>
    <t>側溝高さ</t>
    <rPh sb="0" eb="2">
      <t>ソッコウ</t>
    </rPh>
    <rPh sb="2" eb="3">
      <t>タカ</t>
    </rPh>
    <phoneticPr fontId="2"/>
  </si>
  <si>
    <t>管渠直径</t>
    <rPh sb="0" eb="1">
      <t>カン</t>
    </rPh>
    <rPh sb="1" eb="2">
      <t>キョ</t>
    </rPh>
    <rPh sb="2" eb="4">
      <t>チョッケイ</t>
    </rPh>
    <phoneticPr fontId="2"/>
  </si>
  <si>
    <t>粗度係数</t>
    <rPh sb="0" eb="1">
      <t>アラ</t>
    </rPh>
    <rPh sb="1" eb="2">
      <t>ド</t>
    </rPh>
    <rPh sb="2" eb="4">
      <t>ケイスウ</t>
    </rPh>
    <phoneticPr fontId="2"/>
  </si>
  <si>
    <t>水面勾配</t>
    <rPh sb="0" eb="2">
      <t>スイメン</t>
    </rPh>
    <rPh sb="2" eb="4">
      <t>コウバイ</t>
    </rPh>
    <phoneticPr fontId="2"/>
  </si>
  <si>
    <t>調整</t>
    <rPh sb="0" eb="2">
      <t>チョウセイ</t>
    </rPh>
    <phoneticPr fontId="2"/>
  </si>
  <si>
    <t>市街化</t>
    <rPh sb="0" eb="3">
      <t>シガイカ</t>
    </rPh>
    <phoneticPr fontId="2"/>
  </si>
  <si>
    <t>奥行</t>
    <rPh sb="0" eb="2">
      <t>オクユ</t>
    </rPh>
    <phoneticPr fontId="2"/>
  </si>
  <si>
    <t>地表面の種類</t>
    <rPh sb="0" eb="3">
      <t>チヒョウメン</t>
    </rPh>
    <rPh sb="4" eb="6">
      <t>シュルイ</t>
    </rPh>
    <phoneticPr fontId="2"/>
  </si>
  <si>
    <t>区間①</t>
    <rPh sb="0" eb="2">
      <t>クカン</t>
    </rPh>
    <phoneticPr fontId="2"/>
  </si>
  <si>
    <t>区間②</t>
    <rPh sb="0" eb="2">
      <t>クカン</t>
    </rPh>
    <phoneticPr fontId="2"/>
  </si>
  <si>
    <t>区間③</t>
    <rPh sb="0" eb="2">
      <t>クカン</t>
    </rPh>
    <phoneticPr fontId="2"/>
  </si>
  <si>
    <t>区間④</t>
    <rPh sb="0" eb="2">
      <t>クカン</t>
    </rPh>
    <phoneticPr fontId="2"/>
  </si>
  <si>
    <t>区間⑤</t>
    <rPh sb="0" eb="2">
      <t>クカン</t>
    </rPh>
    <phoneticPr fontId="2"/>
  </si>
  <si>
    <t>幅(ｍ）</t>
    <rPh sb="0" eb="1">
      <t>ハバ</t>
    </rPh>
    <phoneticPr fontId="2"/>
  </si>
  <si>
    <t>延長（ｍ）</t>
    <rPh sb="0" eb="2">
      <t>エンチョウ</t>
    </rPh>
    <phoneticPr fontId="2"/>
  </si>
  <si>
    <t>面積（㎡）</t>
    <rPh sb="0" eb="2">
      <t>メンセキ</t>
    </rPh>
    <phoneticPr fontId="2"/>
  </si>
  <si>
    <t>区間⑥</t>
    <rPh sb="0" eb="2">
      <t>クカン</t>
    </rPh>
    <phoneticPr fontId="2"/>
  </si>
  <si>
    <t>区間⑦</t>
    <rPh sb="0" eb="2">
      <t>クカン</t>
    </rPh>
    <phoneticPr fontId="2"/>
  </si>
  <si>
    <t>区間⑧</t>
    <rPh sb="0" eb="2">
      <t>クカン</t>
    </rPh>
    <phoneticPr fontId="2"/>
  </si>
  <si>
    <t>区間⑨</t>
    <rPh sb="0" eb="2">
      <t>クカン</t>
    </rPh>
    <phoneticPr fontId="2"/>
  </si>
  <si>
    <t>区間⑩</t>
    <rPh sb="0" eb="2">
      <t>クカン</t>
    </rPh>
    <phoneticPr fontId="2"/>
  </si>
  <si>
    <t>※流出係数　０．６</t>
    <rPh sb="1" eb="3">
      <t>リュウシュツ</t>
    </rPh>
    <rPh sb="3" eb="5">
      <t>ケイスウ</t>
    </rPh>
    <phoneticPr fontId="2"/>
  </si>
  <si>
    <t>※流出係数　０．８</t>
    <rPh sb="1" eb="3">
      <t>リュウシュツ</t>
    </rPh>
    <rPh sb="3" eb="5">
      <t>ケイスウ</t>
    </rPh>
    <phoneticPr fontId="2"/>
  </si>
  <si>
    <t>※流出係数　０．９</t>
    <rPh sb="1" eb="3">
      <t>リュウシュツ</t>
    </rPh>
    <rPh sb="3" eb="5">
      <t>ケイスウ</t>
    </rPh>
    <phoneticPr fontId="2"/>
  </si>
  <si>
    <t>道路の路面の１/２</t>
    <rPh sb="0" eb="2">
      <t>ドウロ</t>
    </rPh>
    <rPh sb="3" eb="5">
      <t>ロメン</t>
    </rPh>
    <phoneticPr fontId="2"/>
  </si>
  <si>
    <t>道路の路面</t>
    <rPh sb="0" eb="2">
      <t>ドウロ</t>
    </rPh>
    <rPh sb="3" eb="5">
      <t>ロメン</t>
    </rPh>
    <phoneticPr fontId="2"/>
  </si>
  <si>
    <t>地域的集水区域</t>
    <rPh sb="0" eb="3">
      <t>チイキテキ</t>
    </rPh>
    <rPh sb="3" eb="4">
      <t>アツマリ</t>
    </rPh>
    <rPh sb="4" eb="5">
      <t>ミズ</t>
    </rPh>
    <rPh sb="5" eb="7">
      <t>クイキ</t>
    </rPh>
    <phoneticPr fontId="2"/>
  </si>
  <si>
    <t>芝地（砂質土）</t>
    <rPh sb="0" eb="1">
      <t>シバ</t>
    </rPh>
    <rPh sb="1" eb="2">
      <t>チ</t>
    </rPh>
    <rPh sb="3" eb="4">
      <t>スナ</t>
    </rPh>
    <rPh sb="4" eb="5">
      <t>シツ</t>
    </rPh>
    <rPh sb="5" eb="6">
      <t>ツチ</t>
    </rPh>
    <phoneticPr fontId="2"/>
  </si>
  <si>
    <t>芝地（粘性土）</t>
    <rPh sb="0" eb="1">
      <t>シバ</t>
    </rPh>
    <rPh sb="1" eb="2">
      <t>チ</t>
    </rPh>
    <rPh sb="3" eb="5">
      <t>ネンセイ</t>
    </rPh>
    <rPh sb="5" eb="6">
      <t>ツチ</t>
    </rPh>
    <phoneticPr fontId="2"/>
  </si>
  <si>
    <t>間地</t>
    <rPh sb="0" eb="1">
      <t>アイダ</t>
    </rPh>
    <rPh sb="1" eb="2">
      <t>チ</t>
    </rPh>
    <phoneticPr fontId="2"/>
  </si>
  <si>
    <t>芝、樹林の多い公園</t>
    <rPh sb="0" eb="1">
      <t>シバ</t>
    </rPh>
    <rPh sb="2" eb="4">
      <t>ジュリン</t>
    </rPh>
    <rPh sb="5" eb="6">
      <t>オオ</t>
    </rPh>
    <rPh sb="7" eb="9">
      <t>コウエン</t>
    </rPh>
    <phoneticPr fontId="2"/>
  </si>
  <si>
    <t>畑</t>
    <rPh sb="0" eb="1">
      <t>ハタケ</t>
    </rPh>
    <phoneticPr fontId="2"/>
  </si>
  <si>
    <t>舗装道</t>
    <rPh sb="0" eb="2">
      <t>ホソウ</t>
    </rPh>
    <rPh sb="2" eb="3">
      <t>ミチ</t>
    </rPh>
    <phoneticPr fontId="2"/>
  </si>
  <si>
    <t>砂利道</t>
    <rPh sb="0" eb="3">
      <t>ジャリミチ</t>
    </rPh>
    <phoneticPr fontId="2"/>
  </si>
  <si>
    <t>ｃ</t>
    <phoneticPr fontId="2"/>
  </si>
  <si>
    <t>ａ　（㎡）</t>
    <phoneticPr fontId="2"/>
  </si>
  <si>
    <t>ｃ×ａ</t>
    <phoneticPr fontId="2"/>
  </si>
  <si>
    <t>合併処理浄化槽　　　</t>
    <rPh sb="0" eb="2">
      <t>ガッペイ</t>
    </rPh>
    <rPh sb="2" eb="4">
      <t>ショリ</t>
    </rPh>
    <rPh sb="4" eb="7">
      <t>ジョウカソウ</t>
    </rPh>
    <phoneticPr fontId="2"/>
  </si>
  <si>
    <t>人槽</t>
    <rPh sb="0" eb="1">
      <t>ヒト</t>
    </rPh>
    <rPh sb="1" eb="2">
      <t>ソウ</t>
    </rPh>
    <phoneticPr fontId="2"/>
  </si>
  <si>
    <t>水面勾配×延長</t>
    <rPh sb="0" eb="2">
      <t>スイメン</t>
    </rPh>
    <rPh sb="2" eb="4">
      <t>コウバイ</t>
    </rPh>
    <rPh sb="5" eb="7">
      <t>エンチョウ</t>
    </rPh>
    <phoneticPr fontId="2"/>
  </si>
  <si>
    <t>←平均水面勾配</t>
    <rPh sb="1" eb="3">
      <t>ヘイキン</t>
    </rPh>
    <rPh sb="3" eb="5">
      <t>スイメン</t>
    </rPh>
    <rPh sb="5" eb="7">
      <t>コウバイ</t>
    </rPh>
    <phoneticPr fontId="2"/>
  </si>
  <si>
    <t>道路の法面（土）</t>
    <rPh sb="0" eb="2">
      <t>ドウロ</t>
    </rPh>
    <rPh sb="3" eb="4">
      <t>ノリ</t>
    </rPh>
    <rPh sb="4" eb="5">
      <t>メン</t>
    </rPh>
    <rPh sb="6" eb="7">
      <t>ツチ</t>
    </rPh>
    <phoneticPr fontId="2"/>
  </si>
  <si>
    <t>道路の法面（岩盤）</t>
    <rPh sb="0" eb="2">
      <t>ドウロ</t>
    </rPh>
    <rPh sb="3" eb="4">
      <t>ノリ</t>
    </rPh>
    <rPh sb="4" eb="5">
      <t>メン</t>
    </rPh>
    <rPh sb="6" eb="8">
      <t>ガンバン</t>
    </rPh>
    <phoneticPr fontId="2"/>
  </si>
  <si>
    <t>種類（種類別に数字を入力）</t>
    <rPh sb="0" eb="2">
      <t>シュルイ</t>
    </rPh>
    <rPh sb="3" eb="5">
      <t>シュルイ</t>
    </rPh>
    <rPh sb="5" eb="6">
      <t>ベツ</t>
    </rPh>
    <rPh sb="7" eb="9">
      <t>スウジ</t>
    </rPh>
    <rPh sb="10" eb="12">
      <t>ニュウリョク</t>
    </rPh>
    <phoneticPr fontId="2"/>
  </si>
  <si>
    <t>地域的集水区域</t>
    <rPh sb="0" eb="2">
      <t>チイキ</t>
    </rPh>
    <rPh sb="2" eb="3">
      <t>テキ</t>
    </rPh>
    <rPh sb="3" eb="4">
      <t>アツマリ</t>
    </rPh>
    <rPh sb="4" eb="5">
      <t>ミズ</t>
    </rPh>
    <rPh sb="5" eb="7">
      <t>クイキ</t>
    </rPh>
    <phoneticPr fontId="2"/>
  </si>
  <si>
    <t>建ぺい率60%:0.6、建ぺい率80%:0.8</t>
    <rPh sb="0" eb="1">
      <t>ケン</t>
    </rPh>
    <rPh sb="3" eb="4">
      <t>リツ</t>
    </rPh>
    <rPh sb="12" eb="13">
      <t>ケン</t>
    </rPh>
    <rPh sb="15" eb="16">
      <t>リツ</t>
    </rPh>
    <phoneticPr fontId="2"/>
  </si>
  <si>
    <t>※市街化:1、調整区域:2</t>
    <rPh sb="1" eb="4">
      <t>シガイカ</t>
    </rPh>
    <rPh sb="7" eb="9">
      <t>チョウセイ</t>
    </rPh>
    <rPh sb="9" eb="11">
      <t>クイキ</t>
    </rPh>
    <phoneticPr fontId="2"/>
  </si>
  <si>
    <t>※側溝:1、管渠:2</t>
    <rPh sb="1" eb="3">
      <t>ソッコウ</t>
    </rPh>
    <rPh sb="6" eb="7">
      <t>カン</t>
    </rPh>
    <rPh sb="7" eb="8">
      <t>キョ</t>
    </rPh>
    <phoneticPr fontId="2"/>
  </si>
  <si>
    <t>水面勾配（%）</t>
    <rPh sb="0" eb="2">
      <t>スイメン</t>
    </rPh>
    <rPh sb="2" eb="4">
      <t>コウバイ</t>
    </rPh>
    <phoneticPr fontId="2"/>
  </si>
  <si>
    <t>区間⑪</t>
    <rPh sb="0" eb="2">
      <t>クカン</t>
    </rPh>
    <phoneticPr fontId="2"/>
  </si>
  <si>
    <t>区間⑫</t>
    <rPh sb="0" eb="2">
      <t>クカン</t>
    </rPh>
    <phoneticPr fontId="2"/>
  </si>
  <si>
    <t>区間⑬</t>
    <rPh sb="0" eb="2">
      <t>クカン</t>
    </rPh>
    <phoneticPr fontId="2"/>
  </si>
  <si>
    <t>区間⑭</t>
    <rPh sb="0" eb="2">
      <t>クカン</t>
    </rPh>
    <phoneticPr fontId="2"/>
  </si>
  <si>
    <t>区間⑮</t>
    <rPh sb="0" eb="2">
      <t>クカン</t>
    </rPh>
    <phoneticPr fontId="2"/>
  </si>
  <si>
    <t>平均</t>
    <rPh sb="0" eb="2">
      <t>ヘイキン</t>
    </rPh>
    <phoneticPr fontId="2"/>
  </si>
  <si>
    <t>合計÷２</t>
    <rPh sb="0" eb="2">
      <t>ゴウケイ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</si>
  <si>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</si>
  <si>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</si>
  <si>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</si>
  <si>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</si>
  <si>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【別表１】</t>
    <rPh sb="1" eb="2">
      <t>ベツ</t>
    </rPh>
    <rPh sb="2" eb="3">
      <t>ヒョウ</t>
    </rPh>
    <phoneticPr fontId="2"/>
  </si>
  <si>
    <t>【別表３】</t>
    <rPh sb="1" eb="2">
      <t>ベツ</t>
    </rPh>
    <rPh sb="2" eb="3">
      <t>ヒョウ</t>
    </rPh>
    <phoneticPr fontId="2"/>
  </si>
  <si>
    <t>【別表２】</t>
    <rPh sb="1" eb="2">
      <t>ベツ</t>
    </rPh>
    <rPh sb="2" eb="3">
      <t>ヒョウ</t>
    </rPh>
    <phoneticPr fontId="2"/>
  </si>
  <si>
    <t>※複数の場合【別表２】へ入力し、
   平均を入力すること。</t>
    <rPh sb="1" eb="3">
      <t>フクスウ</t>
    </rPh>
    <rPh sb="4" eb="6">
      <t>バアイ</t>
    </rPh>
    <rPh sb="7" eb="8">
      <t>ベツ</t>
    </rPh>
    <rPh sb="8" eb="9">
      <t>ヒョウ</t>
    </rPh>
    <rPh sb="12" eb="14">
      <t>ニュウリョク</t>
    </rPh>
    <rPh sb="20" eb="22">
      <t>ヘイキン</t>
    </rPh>
    <rPh sb="23" eb="25">
      <t>ニュウリョク</t>
    </rPh>
    <phoneticPr fontId="2"/>
  </si>
  <si>
    <t>※複数の場合【別表３】へ入力し、
   平均を入力すること。</t>
    <rPh sb="1" eb="3">
      <t>フクスウ</t>
    </rPh>
    <rPh sb="4" eb="6">
      <t>バアイ</t>
    </rPh>
    <rPh sb="7" eb="8">
      <t>ベツ</t>
    </rPh>
    <rPh sb="8" eb="9">
      <t>ヒョウ</t>
    </rPh>
    <rPh sb="12" eb="14">
      <t>ニュウリョク</t>
    </rPh>
    <rPh sb="20" eb="22">
      <t>ヘイキン</t>
    </rPh>
    <rPh sb="23" eb="25">
      <t>ニュウリョク</t>
    </rPh>
    <phoneticPr fontId="2"/>
  </si>
  <si>
    <t>・・・・・入力箇所（共通）</t>
    <rPh sb="5" eb="7">
      <t>ニュウリョク</t>
    </rPh>
    <rPh sb="7" eb="9">
      <t>カショ</t>
    </rPh>
    <rPh sb="10" eb="12">
      <t>キョウツウ</t>
    </rPh>
    <phoneticPr fontId="2"/>
  </si>
  <si>
    <t>・・・・・自動計算</t>
    <rPh sb="5" eb="7">
      <t>ジドウ</t>
    </rPh>
    <rPh sb="7" eb="9">
      <t>ケイサン</t>
    </rPh>
    <phoneticPr fontId="2"/>
  </si>
  <si>
    <t>・・・・・入力箇所（市街化区域）</t>
    <rPh sb="5" eb="7">
      <t>ニュウリョク</t>
    </rPh>
    <rPh sb="7" eb="9">
      <t>カショ</t>
    </rPh>
    <rPh sb="10" eb="13">
      <t>シガイカ</t>
    </rPh>
    <rPh sb="13" eb="15">
      <t>クイキ</t>
    </rPh>
    <phoneticPr fontId="2"/>
  </si>
  <si>
    <t>・・・・・入力箇所（調整区域）</t>
    <rPh sb="5" eb="7">
      <t>ニュウリョク</t>
    </rPh>
    <rPh sb="7" eb="9">
      <t>カショ</t>
    </rPh>
    <rPh sb="10" eb="12">
      <t>チョウセイ</t>
    </rPh>
    <rPh sb="12" eb="14">
      <t>クイキ</t>
    </rPh>
    <phoneticPr fontId="2"/>
  </si>
  <si>
    <t>側溝の場合記入</t>
    <rPh sb="0" eb="2">
      <t>ソッコウ</t>
    </rPh>
    <rPh sb="3" eb="5">
      <t>バアイ</t>
    </rPh>
    <rPh sb="5" eb="7">
      <t>キニュウ</t>
    </rPh>
    <phoneticPr fontId="2"/>
  </si>
  <si>
    <t>管渠の場合記入</t>
    <rPh sb="0" eb="1">
      <t>カン</t>
    </rPh>
    <rPh sb="1" eb="2">
      <t>ミゾ</t>
    </rPh>
    <rPh sb="3" eb="5">
      <t>バアイ</t>
    </rPh>
    <rPh sb="5" eb="7">
      <t>キニュウ</t>
    </rPh>
    <phoneticPr fontId="2"/>
  </si>
  <si>
    <t>m</t>
    <phoneticPr fontId="2"/>
  </si>
  <si>
    <t>m</t>
    <phoneticPr fontId="2"/>
  </si>
  <si>
    <t>m</t>
    <phoneticPr fontId="2"/>
  </si>
  <si>
    <t>m</t>
    <phoneticPr fontId="2"/>
  </si>
  <si>
    <t>㎡</t>
    <phoneticPr fontId="2"/>
  </si>
  <si>
    <t>㎡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</si>
  <si>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</si>
  <si>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</si>
  <si>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</si>
  <si>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</si>
  <si>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m3</t>
    <phoneticPr fontId="2"/>
  </si>
  <si>
    <t>m</t>
    <phoneticPr fontId="2"/>
  </si>
  <si>
    <t>m</t>
    <phoneticPr fontId="2"/>
  </si>
  <si>
    <t>％</t>
    <phoneticPr fontId="2"/>
  </si>
  <si>
    <t>※ 既製品の場合　  0.013  
※ 現場打ちの場合  0.015</t>
    <rPh sb="2" eb="5">
      <t>キセイヒン</t>
    </rPh>
    <rPh sb="6" eb="8">
      <t>バアイ</t>
    </rPh>
    <rPh sb="21" eb="23">
      <t>ゲンバ</t>
    </rPh>
    <rPh sb="23" eb="24">
      <t>ウ</t>
    </rPh>
    <rPh sb="26" eb="28">
      <t>バアイ</t>
    </rPh>
    <phoneticPr fontId="2"/>
  </si>
  <si>
    <t>道路排水施設への流入量算定書</t>
    <rPh sb="0" eb="2">
      <t>ドウロ</t>
    </rPh>
    <rPh sb="2" eb="4">
      <t>ハイスイ</t>
    </rPh>
    <rPh sb="4" eb="6">
      <t>シセツ</t>
    </rPh>
    <rPh sb="8" eb="14">
      <t>リュウニュウリョウサンテイショ</t>
    </rPh>
    <phoneticPr fontId="2"/>
  </si>
  <si>
    <r>
      <t>s/m</t>
    </r>
    <r>
      <rPr>
        <vertAlign val="superscript"/>
        <sz val="10"/>
        <rFont val="ＭＳ Ｐゴシック"/>
        <family val="3"/>
        <charset val="128"/>
      </rPr>
      <t>1/3</t>
    </r>
    <phoneticPr fontId="2"/>
  </si>
  <si>
    <t>→</t>
    <phoneticPr fontId="2"/>
  </si>
  <si>
    <t>1/n</t>
    <phoneticPr fontId="2"/>
  </si>
  <si>
    <r>
      <t>R</t>
    </r>
    <r>
      <rPr>
        <vertAlign val="superscript"/>
        <sz val="10"/>
        <rFont val="ＭＳ Ｐゴシック"/>
        <family val="3"/>
        <charset val="128"/>
      </rPr>
      <t>2/3</t>
    </r>
    <phoneticPr fontId="2"/>
  </si>
  <si>
    <r>
      <t>i</t>
    </r>
    <r>
      <rPr>
        <vertAlign val="superscript"/>
        <sz val="10"/>
        <rFont val="ＭＳ Ｐゴシック"/>
        <family val="3"/>
        <charset val="128"/>
      </rPr>
      <t>1/2</t>
    </r>
    <phoneticPr fontId="2"/>
  </si>
  <si>
    <r>
      <t>流下能力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Q = AV</t>
    </r>
    <rPh sb="0" eb="2">
      <t>リュウカ</t>
    </rPh>
    <rPh sb="2" eb="4">
      <t>ノウリョク</t>
    </rPh>
    <phoneticPr fontId="2"/>
  </si>
  <si>
    <t>１．申請地の設定</t>
    <rPh sb="2" eb="4">
      <t>シンセイ</t>
    </rPh>
    <rPh sb="4" eb="5">
      <t>チ</t>
    </rPh>
    <rPh sb="6" eb="8">
      <t>セッテイ</t>
    </rPh>
    <phoneticPr fontId="2"/>
  </si>
  <si>
    <t>2-1　道路の規模の設定</t>
    <rPh sb="4" eb="6">
      <t>ドウロ</t>
    </rPh>
    <rPh sb="7" eb="9">
      <t>キボ</t>
    </rPh>
    <rPh sb="10" eb="12">
      <t>セッテイ</t>
    </rPh>
    <phoneticPr fontId="2"/>
  </si>
  <si>
    <r>
      <t>2-3　流出係数（</t>
    </r>
    <r>
      <rPr>
        <sz val="11"/>
        <rFont val="ＭＳ Ｐゴシック"/>
        <family val="3"/>
        <charset val="128"/>
      </rPr>
      <t>C）</t>
    </r>
    <r>
      <rPr>
        <sz val="11"/>
        <rFont val="ＭＳ Ｐゴシック"/>
        <family val="3"/>
        <charset val="128"/>
      </rPr>
      <t>の設定</t>
    </r>
    <rPh sb="4" eb="6">
      <t>リュウシュツ</t>
    </rPh>
    <rPh sb="6" eb="8">
      <t>ケイスウ</t>
    </rPh>
    <rPh sb="12" eb="14">
      <t>セッテイ</t>
    </rPh>
    <phoneticPr fontId="2"/>
  </si>
  <si>
    <r>
      <t>2-2　集水面積（</t>
    </r>
    <r>
      <rPr>
        <sz val="11"/>
        <rFont val="ＭＳ Ｐゴシック"/>
        <family val="3"/>
        <charset val="128"/>
      </rPr>
      <t>a）</t>
    </r>
    <r>
      <rPr>
        <sz val="11"/>
        <rFont val="ＭＳ Ｐゴシック"/>
        <family val="3"/>
        <charset val="128"/>
      </rPr>
      <t>の設定</t>
    </r>
    <rPh sb="4" eb="5">
      <t>アツ</t>
    </rPh>
    <rPh sb="5" eb="6">
      <t>ミズ</t>
    </rPh>
    <rPh sb="6" eb="8">
      <t>メンセキ</t>
    </rPh>
    <rPh sb="12" eb="14">
      <t>セッテイ</t>
    </rPh>
    <phoneticPr fontId="2"/>
  </si>
  <si>
    <t>２．側溝への流入量算出用数値の設定</t>
    <rPh sb="2" eb="4">
      <t>ソッコウ</t>
    </rPh>
    <rPh sb="6" eb="8">
      <t>リュウニュウ</t>
    </rPh>
    <rPh sb="8" eb="9">
      <t>リョウ</t>
    </rPh>
    <rPh sb="9" eb="11">
      <t>サンシュツ</t>
    </rPh>
    <rPh sb="11" eb="12">
      <t>ヨウ</t>
    </rPh>
    <rPh sb="12" eb="14">
      <t>スウチ</t>
    </rPh>
    <rPh sb="15" eb="17">
      <t>セッテイ</t>
    </rPh>
    <phoneticPr fontId="2"/>
  </si>
  <si>
    <t>2-4　浄化槽の設定</t>
    <rPh sb="4" eb="7">
      <t>ジョウカソウ</t>
    </rPh>
    <rPh sb="8" eb="10">
      <t>セッテイ</t>
    </rPh>
    <phoneticPr fontId="2"/>
  </si>
  <si>
    <t>３．道路排水施設の流下能力の算定</t>
    <rPh sb="2" eb="4">
      <t>ドウロ</t>
    </rPh>
    <rPh sb="4" eb="6">
      <t>ハイスイ</t>
    </rPh>
    <rPh sb="6" eb="8">
      <t>シセツ</t>
    </rPh>
    <rPh sb="9" eb="11">
      <t>リュウカ</t>
    </rPh>
    <rPh sb="11" eb="13">
      <t>ノウリョク</t>
    </rPh>
    <rPh sb="14" eb="16">
      <t>サンテイ</t>
    </rPh>
    <phoneticPr fontId="2"/>
  </si>
  <si>
    <t>3-1　道路排水施設の設定</t>
    <rPh sb="4" eb="6">
      <t>ドウロ</t>
    </rPh>
    <rPh sb="6" eb="8">
      <t>ハイスイ</t>
    </rPh>
    <rPh sb="8" eb="10">
      <t>シセツ</t>
    </rPh>
    <rPh sb="11" eb="13">
      <t>セッテイ</t>
    </rPh>
    <phoneticPr fontId="2"/>
  </si>
  <si>
    <t>3-2　流下能力算定</t>
    <rPh sb="4" eb="6">
      <t>リュウカ</t>
    </rPh>
    <rPh sb="6" eb="8">
      <t>ノウリョク</t>
    </rPh>
    <rPh sb="8" eb="10">
      <t>サンテイ</t>
    </rPh>
    <phoneticPr fontId="2"/>
  </si>
  <si>
    <t>【流域図】</t>
    <rPh sb="1" eb="3">
      <t>リュウイキ</t>
    </rPh>
    <rPh sb="3" eb="4">
      <t>ズ</t>
    </rPh>
    <phoneticPr fontId="2"/>
  </si>
  <si>
    <t>※断面が変化する場合は、最も狭いものを採用すること。</t>
    <rPh sb="1" eb="3">
      <t>ダンメン</t>
    </rPh>
    <rPh sb="4" eb="6">
      <t>ヘンカ</t>
    </rPh>
    <rPh sb="8" eb="10">
      <t>バアイ</t>
    </rPh>
    <rPh sb="12" eb="13">
      <t>モット</t>
    </rPh>
    <rPh sb="14" eb="15">
      <t>セマ</t>
    </rPh>
    <rPh sb="19" eb="21">
      <t>サイヨウ</t>
    </rPh>
    <phoneticPr fontId="2"/>
  </si>
  <si>
    <t>【凡例】</t>
    <rPh sb="1" eb="3">
      <t>ハンレイ</t>
    </rPh>
    <phoneticPr fontId="2"/>
  </si>
  <si>
    <t>＝</t>
    <phoneticPr fontId="2"/>
  </si>
  <si>
    <t>加算奥行α</t>
    <rPh sb="0" eb="2">
      <t>カサン</t>
    </rPh>
    <rPh sb="2" eb="4">
      <t>オクユ</t>
    </rPh>
    <phoneticPr fontId="2"/>
  </si>
  <si>
    <t>放水量</t>
    <rPh sb="0" eb="2">
      <t>ホウスイ</t>
    </rPh>
    <rPh sb="2" eb="3">
      <t>リョウ</t>
    </rPh>
    <phoneticPr fontId="2"/>
  </si>
  <si>
    <t>換算面積Ｓ</t>
    <rPh sb="0" eb="2">
      <t>カンサン</t>
    </rPh>
    <rPh sb="2" eb="4">
      <t>メンセキ</t>
    </rPh>
    <phoneticPr fontId="2"/>
  </si>
  <si>
    <t>換算面積Ｓ / 間口</t>
    <rPh sb="0" eb="2">
      <t>カンサン</t>
    </rPh>
    <rPh sb="2" eb="4">
      <t>メンセキ</t>
    </rPh>
    <rPh sb="8" eb="10">
      <t>マグチ</t>
    </rPh>
    <phoneticPr fontId="2"/>
  </si>
  <si>
    <r>
      <t>１人槽0.2ｍ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で計算する。</t>
    </r>
    <phoneticPr fontId="2"/>
  </si>
  <si>
    <t>【抑制対策の必要性判定】</t>
    <rPh sb="1" eb="3">
      <t>ヨクセイ</t>
    </rPh>
    <rPh sb="3" eb="5">
      <t>タイサク</t>
    </rPh>
    <rPh sb="6" eb="9">
      <t>ヒツヨウセイ</t>
    </rPh>
    <rPh sb="9" eb="11">
      <t>ハンテイ</t>
    </rPh>
    <phoneticPr fontId="2"/>
  </si>
  <si>
    <t>集水可能な沿道幅Ｂ</t>
    <rPh sb="0" eb="2">
      <t>シュウスイ</t>
    </rPh>
    <rPh sb="2" eb="4">
      <t>カノウ</t>
    </rPh>
    <rPh sb="5" eb="7">
      <t>エンドウ</t>
    </rPh>
    <rPh sb="7" eb="8">
      <t>ハバ</t>
    </rPh>
    <phoneticPr fontId="2"/>
  </si>
  <si>
    <t>沿道敷地の流出係数</t>
    <rPh sb="0" eb="2">
      <t>エンドウ</t>
    </rPh>
    <rPh sb="2" eb="4">
      <t>シキチ</t>
    </rPh>
    <rPh sb="5" eb="7">
      <t>リュウシュツ</t>
    </rPh>
    <rPh sb="7" eb="9">
      <t>ケイスウ</t>
    </rPh>
    <phoneticPr fontId="2"/>
  </si>
  <si>
    <t>申請地奥行 ｘ</t>
    <rPh sb="0" eb="2">
      <t>シンセイ</t>
    </rPh>
    <rPh sb="2" eb="3">
      <t>チ</t>
    </rPh>
    <rPh sb="3" eb="5">
      <t>オクユ</t>
    </rPh>
    <phoneticPr fontId="2"/>
  </si>
  <si>
    <t>ｍ</t>
    <phoneticPr fontId="2"/>
  </si>
  <si>
    <t>流下能力 Q</t>
    <rPh sb="0" eb="2">
      <t>リュウカ</t>
    </rPh>
    <rPh sb="2" eb="4">
      <t>ノウリョク</t>
    </rPh>
    <phoneticPr fontId="2"/>
  </si>
  <si>
    <t>道路敷地幅 ｗ</t>
    <rPh sb="0" eb="2">
      <t>ドウロ</t>
    </rPh>
    <rPh sb="2" eb="4">
      <t>シキチ</t>
    </rPh>
    <rPh sb="4" eb="5">
      <t>ハバ</t>
    </rPh>
    <phoneticPr fontId="2"/>
  </si>
  <si>
    <t>道路幅</t>
    <rPh sb="0" eb="2">
      <t>ドウロ</t>
    </rPh>
    <rPh sb="2" eb="3">
      <t>ハバ</t>
    </rPh>
    <phoneticPr fontId="2"/>
  </si>
  <si>
    <t>道路延長</t>
    <rPh sb="0" eb="2">
      <t>ドウロ</t>
    </rPh>
    <rPh sb="2" eb="4">
      <t>エンチョウ</t>
    </rPh>
    <phoneticPr fontId="2"/>
  </si>
  <si>
    <t>※算出結果を左表2-1の道路幅、道路延長に記載すること。</t>
    <rPh sb="1" eb="3">
      <t>サンシュツ</t>
    </rPh>
    <rPh sb="3" eb="5">
      <t>ケッカ</t>
    </rPh>
    <rPh sb="6" eb="7">
      <t>サ</t>
    </rPh>
    <rPh sb="7" eb="8">
      <t>ヒョウ</t>
    </rPh>
    <rPh sb="12" eb="14">
      <t>ドウロ</t>
    </rPh>
    <rPh sb="14" eb="15">
      <t>ハバ</t>
    </rPh>
    <rPh sb="16" eb="18">
      <t>ドウロ</t>
    </rPh>
    <rPh sb="18" eb="20">
      <t>エンチョウ</t>
    </rPh>
    <rPh sb="21" eb="23">
      <t>キサイ</t>
    </rPh>
    <phoneticPr fontId="2"/>
  </si>
  <si>
    <t>浄化槽を加味した申請地の奥行</t>
    <rPh sb="0" eb="3">
      <t>ジョウカソウ</t>
    </rPh>
    <rPh sb="4" eb="6">
      <t>カミ</t>
    </rPh>
    <rPh sb="8" eb="10">
      <t>シンセイ</t>
    </rPh>
    <rPh sb="10" eb="11">
      <t>チ</t>
    </rPh>
    <rPh sb="12" eb="14">
      <t>オクユ</t>
    </rPh>
    <phoneticPr fontId="2"/>
  </si>
  <si>
    <t>申請地奥行ｘ + 加算奥行α</t>
    <rPh sb="0" eb="2">
      <t>シンセイ</t>
    </rPh>
    <rPh sb="2" eb="3">
      <t>チ</t>
    </rPh>
    <rPh sb="3" eb="5">
      <t>オクユ</t>
    </rPh>
    <rPh sb="9" eb="11">
      <t>カサン</t>
    </rPh>
    <rPh sb="11" eb="13">
      <t>オクユ</t>
    </rPh>
    <phoneticPr fontId="2"/>
  </si>
  <si>
    <t>【抑制対策量の算定】</t>
    <rPh sb="1" eb="3">
      <t>ヨクセイ</t>
    </rPh>
    <rPh sb="3" eb="5">
      <t>タイサク</t>
    </rPh>
    <rPh sb="5" eb="6">
      <t>リョウ</t>
    </rPh>
    <rPh sb="7" eb="9">
      <t>サンテイ</t>
    </rPh>
    <phoneticPr fontId="2"/>
  </si>
  <si>
    <t>自動計算結果</t>
    <rPh sb="0" eb="2">
      <t>ジドウ</t>
    </rPh>
    <rPh sb="2" eb="4">
      <t>ケイサン</t>
    </rPh>
    <rPh sb="4" eb="6">
      <t>ケッカ</t>
    </rPh>
    <phoneticPr fontId="2"/>
  </si>
  <si>
    <t>流出抑制対象幅</t>
    <rPh sb="0" eb="2">
      <t>リュウシュツ</t>
    </rPh>
    <rPh sb="2" eb="4">
      <t>ヨクセイ</t>
    </rPh>
    <rPh sb="4" eb="6">
      <t>タイショウ</t>
    </rPh>
    <rPh sb="6" eb="7">
      <t>ハバ</t>
    </rPh>
    <phoneticPr fontId="2"/>
  </si>
  <si>
    <t>浄化槽を加味した申請地の奥行 - 集水可能な沿道幅Ｂ</t>
    <rPh sb="0" eb="3">
      <t>ジョウカソウ</t>
    </rPh>
    <rPh sb="4" eb="6">
      <t>カミ</t>
    </rPh>
    <rPh sb="8" eb="10">
      <t>シンセイ</t>
    </rPh>
    <rPh sb="10" eb="11">
      <t>チ</t>
    </rPh>
    <rPh sb="12" eb="14">
      <t>オクユキ</t>
    </rPh>
    <phoneticPr fontId="2"/>
  </si>
  <si>
    <t>※平均流出係数を　2-3　流出係数の設定　の　地域的集水区域　の欄に記入すること。</t>
    <rPh sb="1" eb="3">
      <t>ヘイキン</t>
    </rPh>
    <rPh sb="3" eb="5">
      <t>リュウシュツ</t>
    </rPh>
    <rPh sb="5" eb="7">
      <t>ケイスウ</t>
    </rPh>
    <rPh sb="32" eb="33">
      <t>ラン</t>
    </rPh>
    <rPh sb="34" eb="36">
      <t>キニュウ</t>
    </rPh>
    <phoneticPr fontId="2"/>
  </si>
  <si>
    <t>抑制対策量T</t>
    <rPh sb="0" eb="2">
      <t>ヨクセイ</t>
    </rPh>
    <rPh sb="2" eb="4">
      <t>タイサク</t>
    </rPh>
    <rPh sb="4" eb="5">
      <t>リョウ</t>
    </rPh>
    <phoneticPr fontId="2"/>
  </si>
  <si>
    <t>（市街化区域及びDID地区）</t>
    <phoneticPr fontId="2"/>
  </si>
  <si>
    <t>＝</t>
    <phoneticPr fontId="2"/>
  </si>
  <si>
    <t>page １</t>
    <phoneticPr fontId="2"/>
  </si>
  <si>
    <t>page ２</t>
    <phoneticPr fontId="2"/>
  </si>
  <si>
    <t>page ３</t>
    <phoneticPr fontId="2"/>
  </si>
  <si>
    <t>判定で申請地が集水可能な沿道幅Bを超えた場合、流出抑制対策が必要となります。</t>
    <rPh sb="0" eb="2">
      <t>ハンテイ</t>
    </rPh>
    <rPh sb="3" eb="5">
      <t>シンセイ</t>
    </rPh>
    <rPh sb="5" eb="6">
      <t>チ</t>
    </rPh>
    <rPh sb="7" eb="9">
      <t>シュウスイ</t>
    </rPh>
    <rPh sb="9" eb="11">
      <t>カノウ</t>
    </rPh>
    <rPh sb="12" eb="14">
      <t>エンドウ</t>
    </rPh>
    <rPh sb="14" eb="15">
      <t>ハバ</t>
    </rPh>
    <rPh sb="17" eb="18">
      <t>コ</t>
    </rPh>
    <rPh sb="20" eb="22">
      <t>バアイ</t>
    </rPh>
    <rPh sb="23" eb="25">
      <t>リュウシュツ</t>
    </rPh>
    <rPh sb="25" eb="27">
      <t>ヨクセイ</t>
    </rPh>
    <rPh sb="27" eb="29">
      <t>タイサク</t>
    </rPh>
    <rPh sb="30" eb="32">
      <t>ヒツヨウ</t>
    </rPh>
    <phoneticPr fontId="2"/>
  </si>
  <si>
    <t>検討終了</t>
    <rPh sb="0" eb="2">
      <t>ケントウ</t>
    </rPh>
    <rPh sb="2" eb="4">
      <t>シュウリョウ</t>
    </rPh>
    <phoneticPr fontId="2"/>
  </si>
  <si>
    <t>道路から最も離れた箇所までを記入</t>
    <rPh sb="0" eb="2">
      <t>ドウロ</t>
    </rPh>
    <rPh sb="4" eb="5">
      <t>モット</t>
    </rPh>
    <rPh sb="6" eb="7">
      <t>ハナ</t>
    </rPh>
    <rPh sb="9" eb="11">
      <t>カショ</t>
    </rPh>
    <rPh sb="14" eb="16">
      <t>キニュウ</t>
    </rPh>
    <phoneticPr fontId="2"/>
  </si>
  <si>
    <t>申請地面積</t>
    <rPh sb="0" eb="2">
      <t>シンセイ</t>
    </rPh>
    <rPh sb="2" eb="3">
      <t>チ</t>
    </rPh>
    <rPh sb="3" eb="5">
      <t>メンセキ</t>
    </rPh>
    <phoneticPr fontId="2"/>
  </si>
  <si>
    <t>申請地面積 / 申請地奥行</t>
    <rPh sb="0" eb="2">
      <t>シンセイ</t>
    </rPh>
    <rPh sb="2" eb="3">
      <t>チ</t>
    </rPh>
    <rPh sb="3" eb="5">
      <t>メンセキ</t>
    </rPh>
    <rPh sb="8" eb="10">
      <t>シンセイ</t>
    </rPh>
    <rPh sb="10" eb="11">
      <t>チ</t>
    </rPh>
    <rPh sb="11" eb="13">
      <t>オクユ</t>
    </rPh>
    <phoneticPr fontId="2"/>
  </si>
  <si>
    <t>申請地の方形修正間口ｙ</t>
    <rPh sb="0" eb="2">
      <t>シンセイ</t>
    </rPh>
    <rPh sb="2" eb="3">
      <t>チ</t>
    </rPh>
    <rPh sb="4" eb="5">
      <t>ホウ</t>
    </rPh>
    <rPh sb="5" eb="6">
      <t>カタ</t>
    </rPh>
    <rPh sb="6" eb="8">
      <t>シュウセイ</t>
    </rPh>
    <rPh sb="8" eb="10">
      <t>マグチ</t>
    </rPh>
    <phoneticPr fontId="2"/>
  </si>
  <si>
    <t>【浄化槽放流に伴う加算奥行αの算定】</t>
    <rPh sb="1" eb="4">
      <t>ジョウカソウ</t>
    </rPh>
    <rPh sb="4" eb="6">
      <t>ホウリュウ</t>
    </rPh>
    <rPh sb="7" eb="8">
      <t>トモナ</t>
    </rPh>
    <rPh sb="9" eb="11">
      <t>カサン</t>
    </rPh>
    <rPh sb="11" eb="13">
      <t>オクユ</t>
    </rPh>
    <rPh sb="15" eb="17">
      <t>サンテイ</t>
    </rPh>
    <phoneticPr fontId="2"/>
  </si>
  <si>
    <t>ｍ</t>
    <phoneticPr fontId="2"/>
  </si>
  <si>
    <t>＝</t>
    <phoneticPr fontId="2"/>
  </si>
  <si>
    <t>＝</t>
    <phoneticPr fontId="2"/>
  </si>
  <si>
    <t>（参考）</t>
    <rPh sb="1" eb="3">
      <t>サンコウ</t>
    </rPh>
    <phoneticPr fontId="2"/>
  </si>
  <si>
    <t>透水性舗装</t>
    <rPh sb="0" eb="3">
      <t>トウスイセイ</t>
    </rPh>
    <rPh sb="3" eb="5">
      <t>ホソウ</t>
    </rPh>
    <phoneticPr fontId="2"/>
  </si>
  <si>
    <t>個</t>
    <rPh sb="0" eb="1">
      <t>コ</t>
    </rPh>
    <phoneticPr fontId="2"/>
  </si>
  <si>
    <t>浸透対策量</t>
    <rPh sb="0" eb="2">
      <t>シントウ</t>
    </rPh>
    <rPh sb="2" eb="4">
      <t>タイサク</t>
    </rPh>
    <rPh sb="4" eb="5">
      <t>リョウ</t>
    </rPh>
    <phoneticPr fontId="2"/>
  </si>
  <si>
    <t>施設</t>
    <rPh sb="0" eb="2">
      <t>シセツ</t>
    </rPh>
    <phoneticPr fontId="2"/>
  </si>
  <si>
    <t>ｍ</t>
    <phoneticPr fontId="2"/>
  </si>
  <si>
    <t>設計水頭 H</t>
    <rPh sb="0" eb="2">
      <t>セッケイ</t>
    </rPh>
    <rPh sb="2" eb="4">
      <t>スイトウ</t>
    </rPh>
    <phoneticPr fontId="2"/>
  </si>
  <si>
    <t>施設幅 W</t>
    <rPh sb="0" eb="2">
      <t>シセツ</t>
    </rPh>
    <rPh sb="2" eb="3">
      <t>ハバ</t>
    </rPh>
    <phoneticPr fontId="2"/>
  </si>
  <si>
    <t>数量</t>
    <rPh sb="0" eb="2">
      <t>スウリョウ</t>
    </rPh>
    <phoneticPr fontId="2"/>
  </si>
  <si>
    <t>貯留効果</t>
    <rPh sb="0" eb="2">
      <t>チョリュウ</t>
    </rPh>
    <rPh sb="2" eb="4">
      <t>コウカ</t>
    </rPh>
    <phoneticPr fontId="2"/>
  </si>
  <si>
    <t>別途、対策方法を明示した資料を添付する。</t>
    <rPh sb="0" eb="2">
      <t>ベット</t>
    </rPh>
    <rPh sb="3" eb="5">
      <t>タイサク</t>
    </rPh>
    <rPh sb="5" eb="7">
      <t>ホウホウ</t>
    </rPh>
    <rPh sb="8" eb="10">
      <t>メイジ</t>
    </rPh>
    <rPh sb="12" eb="14">
      <t>シリョウ</t>
    </rPh>
    <rPh sb="15" eb="17">
      <t>テンプ</t>
    </rPh>
    <phoneticPr fontId="2"/>
  </si>
  <si>
    <t>（独自の排水施設の設置、承認工事による道路側溝の改修等）</t>
    <rPh sb="1" eb="3">
      <t>ドクジ</t>
    </rPh>
    <rPh sb="4" eb="6">
      <t>ハイスイ</t>
    </rPh>
    <rPh sb="6" eb="8">
      <t>シセツ</t>
    </rPh>
    <rPh sb="9" eb="11">
      <t>セッチ</t>
    </rPh>
    <rPh sb="12" eb="14">
      <t>ショウニン</t>
    </rPh>
    <rPh sb="14" eb="16">
      <t>コウジ</t>
    </rPh>
    <rPh sb="19" eb="21">
      <t>ドウロ</t>
    </rPh>
    <rPh sb="21" eb="23">
      <t>ソッコウ</t>
    </rPh>
    <rPh sb="24" eb="26">
      <t>カイシュウ</t>
    </rPh>
    <rPh sb="26" eb="27">
      <t>トウ</t>
    </rPh>
    <phoneticPr fontId="2"/>
  </si>
  <si>
    <t>流出抑制量</t>
    <rPh sb="0" eb="2">
      <t>リュウシュツ</t>
    </rPh>
    <rPh sb="2" eb="5">
      <t>ヨクセイリョウ</t>
    </rPh>
    <phoneticPr fontId="2"/>
  </si>
  <si>
    <t>※全ページ共通</t>
    <rPh sb="1" eb="2">
      <t>ゼン</t>
    </rPh>
    <rPh sb="5" eb="7">
      <t>キョウツウ</t>
    </rPh>
    <phoneticPr fontId="2"/>
  </si>
  <si>
    <t>page３　流出抑制量の算出根拠</t>
    <rPh sb="6" eb="8">
      <t>リュウシュツ</t>
    </rPh>
    <rPh sb="8" eb="11">
      <t>ヨクセイリョウ</t>
    </rPh>
    <rPh sb="12" eb="14">
      <t>サンシュツ</t>
    </rPh>
    <rPh sb="14" eb="16">
      <t>コンキョ</t>
    </rPh>
    <phoneticPr fontId="2"/>
  </si>
  <si>
    <t>【透水性舗装】</t>
    <rPh sb="1" eb="4">
      <t>トウスイセイ</t>
    </rPh>
    <rPh sb="4" eb="6">
      <t>ホソウ</t>
    </rPh>
    <phoneticPr fontId="2"/>
  </si>
  <si>
    <t>基準浸透量Qf</t>
    <rPh sb="0" eb="2">
      <t>キジュン</t>
    </rPh>
    <rPh sb="2" eb="4">
      <t>シントウ</t>
    </rPh>
    <rPh sb="4" eb="5">
      <t>リョウ</t>
    </rPh>
    <phoneticPr fontId="2"/>
  </si>
  <si>
    <t>土壌の飽和透水係数k0 * 設置施設の比浸透量kf * 3600 /100</t>
    <rPh sb="0" eb="2">
      <t>ドジョウ</t>
    </rPh>
    <rPh sb="3" eb="5">
      <t>ホウワ</t>
    </rPh>
    <rPh sb="5" eb="7">
      <t>トウスイ</t>
    </rPh>
    <rPh sb="7" eb="9">
      <t>ケイスウ</t>
    </rPh>
    <rPh sb="14" eb="16">
      <t>セッチ</t>
    </rPh>
    <rPh sb="16" eb="18">
      <t>シセツ</t>
    </rPh>
    <rPh sb="19" eb="20">
      <t>ヒ</t>
    </rPh>
    <rPh sb="20" eb="22">
      <t>シントウ</t>
    </rPh>
    <rPh sb="22" eb="23">
      <t>リョウ</t>
    </rPh>
    <phoneticPr fontId="2"/>
  </si>
  <si>
    <t>係数a * 設計水頭H + 係数b</t>
    <rPh sb="0" eb="2">
      <t>ケイスウ</t>
    </rPh>
    <rPh sb="6" eb="8">
      <t>セッケイ</t>
    </rPh>
    <rPh sb="8" eb="10">
      <t>スイトウ</t>
    </rPh>
    <rPh sb="14" eb="16">
      <t>ケイスウ</t>
    </rPh>
    <phoneticPr fontId="2"/>
  </si>
  <si>
    <t>係数a</t>
    <rPh sb="0" eb="2">
      <t>ケイスウ</t>
    </rPh>
    <phoneticPr fontId="2"/>
  </si>
  <si>
    <t>係数a =</t>
    <rPh sb="0" eb="2">
      <t>ケイスウ</t>
    </rPh>
    <phoneticPr fontId="2"/>
  </si>
  <si>
    <t>係数b =</t>
    <rPh sb="0" eb="2">
      <t>ケイスウ</t>
    </rPh>
    <phoneticPr fontId="2"/>
  </si>
  <si>
    <t>設計水頭H =</t>
    <rPh sb="0" eb="2">
      <t>セッケイ</t>
    </rPh>
    <rPh sb="2" eb="4">
      <t>スイトウ</t>
    </rPh>
    <phoneticPr fontId="2"/>
  </si>
  <si>
    <t>単位設計浸透量Q</t>
    <rPh sb="0" eb="2">
      <t>タンイ</t>
    </rPh>
    <rPh sb="2" eb="4">
      <t>セッケイ</t>
    </rPh>
    <rPh sb="4" eb="6">
      <t>シントウ</t>
    </rPh>
    <rPh sb="6" eb="7">
      <t>リョウ</t>
    </rPh>
    <phoneticPr fontId="2"/>
  </si>
  <si>
    <t>影響係数C =</t>
    <rPh sb="0" eb="2">
      <t>エイキョウ</t>
    </rPh>
    <rPh sb="2" eb="4">
      <t>ケイスウ</t>
    </rPh>
    <phoneticPr fontId="2"/>
  </si>
  <si>
    <t>影響係数C * 基準浸透量Qf</t>
    <rPh sb="0" eb="2">
      <t>エイキョウ</t>
    </rPh>
    <rPh sb="2" eb="4">
      <t>ケイスウ</t>
    </rPh>
    <rPh sb="8" eb="10">
      <t>キジュン</t>
    </rPh>
    <rPh sb="10" eb="12">
      <t>シントウ</t>
    </rPh>
    <rPh sb="12" eb="13">
      <t>リョウ</t>
    </rPh>
    <phoneticPr fontId="2"/>
  </si>
  <si>
    <t>単位設計浸透量Q * 数量</t>
    <rPh sb="0" eb="2">
      <t>タンイ</t>
    </rPh>
    <rPh sb="2" eb="4">
      <t>セッケイ</t>
    </rPh>
    <rPh sb="4" eb="6">
      <t>シントウ</t>
    </rPh>
    <rPh sb="6" eb="7">
      <t>リョウ</t>
    </rPh>
    <rPh sb="11" eb="13">
      <t>スウリョウ</t>
    </rPh>
    <phoneticPr fontId="2"/>
  </si>
  <si>
    <t>数量 =</t>
    <rPh sb="0" eb="2">
      <t>スウリョウ</t>
    </rPh>
    <phoneticPr fontId="2"/>
  </si>
  <si>
    <t>設置施設の比浸透量kf</t>
    <phoneticPr fontId="2"/>
  </si>
  <si>
    <t>＝</t>
    <phoneticPr fontId="2"/>
  </si>
  <si>
    <t>＝</t>
    <phoneticPr fontId="2"/>
  </si>
  <si>
    <t>設計水頭 * 数量（面積） * 平均空隙率</t>
    <rPh sb="0" eb="2">
      <t>セッケイ</t>
    </rPh>
    <rPh sb="2" eb="4">
      <t>スイトウ</t>
    </rPh>
    <rPh sb="7" eb="9">
      <t>スウリョウ</t>
    </rPh>
    <rPh sb="10" eb="12">
      <t>メンセキ</t>
    </rPh>
    <rPh sb="16" eb="18">
      <t>ヘイキン</t>
    </rPh>
    <rPh sb="18" eb="20">
      <t>クウゲキ</t>
    </rPh>
    <rPh sb="20" eb="21">
      <t>リツ</t>
    </rPh>
    <phoneticPr fontId="2"/>
  </si>
  <si>
    <t>平均空隙率 =</t>
    <rPh sb="0" eb="2">
      <t>ヘイキン</t>
    </rPh>
    <rPh sb="2" eb="4">
      <t>クウゲキ</t>
    </rPh>
    <rPh sb="4" eb="5">
      <t>リツ</t>
    </rPh>
    <phoneticPr fontId="2"/>
  </si>
  <si>
    <t>【浸透トレンチ、浸透側溝】</t>
    <rPh sb="1" eb="3">
      <t>シントウ</t>
    </rPh>
    <rPh sb="8" eb="10">
      <t>シントウ</t>
    </rPh>
    <rPh sb="10" eb="12">
      <t>ソッコウ</t>
    </rPh>
    <phoneticPr fontId="2"/>
  </si>
  <si>
    <t>係数ｂ</t>
    <rPh sb="0" eb="2">
      <t>ケイスウ</t>
    </rPh>
    <phoneticPr fontId="2"/>
  </si>
  <si>
    <t>1.34 * 施設幅W + 0.677</t>
    <rPh sb="7" eb="9">
      <t>シセツ</t>
    </rPh>
    <rPh sb="9" eb="10">
      <t>ハバ</t>
    </rPh>
    <phoneticPr fontId="2"/>
  </si>
  <si>
    <t>施設幅W =</t>
    <rPh sb="0" eb="2">
      <t>シセツ</t>
    </rPh>
    <rPh sb="2" eb="3">
      <t>ハバ</t>
    </rPh>
    <phoneticPr fontId="2"/>
  </si>
  <si>
    <t>管・側溝の貯留効果 + 砕石の貯留効果</t>
    <rPh sb="0" eb="1">
      <t>カン</t>
    </rPh>
    <rPh sb="2" eb="4">
      <t>ソッコウ</t>
    </rPh>
    <rPh sb="5" eb="7">
      <t>チョリュウ</t>
    </rPh>
    <rPh sb="7" eb="9">
      <t>コウカ</t>
    </rPh>
    <rPh sb="12" eb="14">
      <t>サイセキ</t>
    </rPh>
    <rPh sb="15" eb="17">
      <t>チョリュウ</t>
    </rPh>
    <rPh sb="17" eb="19">
      <t>コウカ</t>
    </rPh>
    <phoneticPr fontId="2"/>
  </si>
  <si>
    <t>管・側溝の貯留効果</t>
    <rPh sb="0" eb="1">
      <t>カン</t>
    </rPh>
    <rPh sb="2" eb="4">
      <t>ソッコウ</t>
    </rPh>
    <rPh sb="5" eb="7">
      <t>チョリュウ</t>
    </rPh>
    <rPh sb="7" eb="9">
      <t>コウカ</t>
    </rPh>
    <phoneticPr fontId="2"/>
  </si>
  <si>
    <t>管・側溝の内空断面積 * 数量（延長）</t>
    <rPh sb="0" eb="1">
      <t>カン</t>
    </rPh>
    <rPh sb="2" eb="4">
      <t>ソッコウ</t>
    </rPh>
    <rPh sb="5" eb="6">
      <t>ウチ</t>
    </rPh>
    <rPh sb="6" eb="7">
      <t>ソラ</t>
    </rPh>
    <rPh sb="7" eb="10">
      <t>ダンメンセキ</t>
    </rPh>
    <rPh sb="13" eb="15">
      <t>スウリョウ</t>
    </rPh>
    <rPh sb="16" eb="18">
      <t>エンチョウ</t>
    </rPh>
    <phoneticPr fontId="2"/>
  </si>
  <si>
    <t>砕石の貯留効果</t>
    <rPh sb="0" eb="2">
      <t>サイセキ</t>
    </rPh>
    <rPh sb="3" eb="5">
      <t>チョリュウ</t>
    </rPh>
    <rPh sb="5" eb="7">
      <t>コウカ</t>
    </rPh>
    <phoneticPr fontId="2"/>
  </si>
  <si>
    <t>（設計水頭H * 施設幅W - 管・側溝の内空断面積） * 数量（延長）* 砕石の平均空隙率</t>
    <rPh sb="1" eb="3">
      <t>セッケイ</t>
    </rPh>
    <rPh sb="3" eb="5">
      <t>スイトウ</t>
    </rPh>
    <rPh sb="9" eb="11">
      <t>シセツ</t>
    </rPh>
    <rPh sb="11" eb="12">
      <t>ハバ</t>
    </rPh>
    <rPh sb="16" eb="17">
      <t>カン</t>
    </rPh>
    <rPh sb="18" eb="20">
      <t>ソッコウ</t>
    </rPh>
    <rPh sb="21" eb="22">
      <t>ナイ</t>
    </rPh>
    <rPh sb="22" eb="23">
      <t>クウ</t>
    </rPh>
    <rPh sb="23" eb="26">
      <t>ダンメンセキ</t>
    </rPh>
    <rPh sb="30" eb="32">
      <t>スウリョウ</t>
    </rPh>
    <rPh sb="33" eb="35">
      <t>エンチョウ</t>
    </rPh>
    <rPh sb="38" eb="40">
      <t>サイセキ</t>
    </rPh>
    <rPh sb="41" eb="43">
      <t>ヘイキン</t>
    </rPh>
    <rPh sb="43" eb="45">
      <t>クウゲキ</t>
    </rPh>
    <rPh sb="45" eb="46">
      <t>リツ</t>
    </rPh>
    <phoneticPr fontId="2"/>
  </si>
  <si>
    <t>砕石の平均空隙率 =</t>
    <rPh sb="0" eb="2">
      <t>サイセキ</t>
    </rPh>
    <rPh sb="3" eb="5">
      <t>ヘイキン</t>
    </rPh>
    <rPh sb="5" eb="7">
      <t>クウゲキ</t>
    </rPh>
    <rPh sb="7" eb="8">
      <t>リツ</t>
    </rPh>
    <phoneticPr fontId="2"/>
  </si>
  <si>
    <t>流出抑制対策が不要な場合、これ以降のページは提出不要です。</t>
    <rPh sb="0" eb="2">
      <t>リュウシュツ</t>
    </rPh>
    <rPh sb="2" eb="4">
      <t>ヨクセイ</t>
    </rPh>
    <rPh sb="4" eb="6">
      <t>タイサク</t>
    </rPh>
    <rPh sb="7" eb="9">
      <t>フヨウ</t>
    </rPh>
    <rPh sb="10" eb="12">
      <t>バアイ</t>
    </rPh>
    <rPh sb="15" eb="17">
      <t>イコウ</t>
    </rPh>
    <rPh sb="22" eb="24">
      <t>テイシュツ</t>
    </rPh>
    <rPh sb="24" eb="26">
      <t>フヨウ</t>
    </rPh>
    <phoneticPr fontId="2"/>
  </si>
  <si>
    <t>㎡</t>
    <phoneticPr fontId="2"/>
  </si>
  <si>
    <t>m/s</t>
    <phoneticPr fontId="2"/>
  </si>
  <si>
    <r>
      <t xml:space="preserve"> V = 1/n * R</t>
    </r>
    <r>
      <rPr>
        <vertAlign val="superscript"/>
        <sz val="9"/>
        <rFont val="ＭＳ Ｐゴシック"/>
        <family val="3"/>
        <charset val="128"/>
      </rPr>
      <t>2/3</t>
    </r>
    <r>
      <rPr>
        <sz val="9"/>
        <rFont val="ＭＳ Ｐゴシック"/>
        <family val="3"/>
        <charset val="128"/>
      </rPr>
      <t xml:space="preserve"> * i</t>
    </r>
    <r>
      <rPr>
        <vertAlign val="superscript"/>
        <sz val="9"/>
        <rFont val="ＭＳ Ｐゴシック"/>
        <family val="3"/>
        <charset val="128"/>
      </rPr>
      <t>1/2</t>
    </r>
    <phoneticPr fontId="2"/>
  </si>
  <si>
    <r>
      <t>s/m</t>
    </r>
    <r>
      <rPr>
        <vertAlign val="superscript"/>
        <sz val="10"/>
        <rFont val="ＭＳ Ｐゴシック"/>
        <family val="3"/>
        <charset val="128"/>
      </rPr>
      <t>1/3</t>
    </r>
    <phoneticPr fontId="2"/>
  </si>
  <si>
    <t>ｍ</t>
    <phoneticPr fontId="2"/>
  </si>
  <si>
    <t>-</t>
    <phoneticPr fontId="2"/>
  </si>
  <si>
    <t>＝</t>
    <phoneticPr fontId="2"/>
  </si>
  <si>
    <t>（市街化区域及びDID地区）</t>
    <phoneticPr fontId="2"/>
  </si>
  <si>
    <t>申請地の方形修正間口ｙ</t>
    <phoneticPr fontId="2"/>
  </si>
  <si>
    <t>・・・・・①</t>
    <phoneticPr fontId="2"/>
  </si>
  <si>
    <t>http://www.sougo-chisui.jp/</t>
    <phoneticPr fontId="2"/>
  </si>
  <si>
    <t>http://www.sougo-chisui.jp/shinkawa/what-s_new.html</t>
    <phoneticPr fontId="2"/>
  </si>
  <si>
    <t>ｍ</t>
    <phoneticPr fontId="2"/>
  </si>
  <si>
    <t>-</t>
    <phoneticPr fontId="2"/>
  </si>
  <si>
    <t>ｍ</t>
    <phoneticPr fontId="2"/>
  </si>
  <si>
    <t>＝</t>
    <phoneticPr fontId="2"/>
  </si>
  <si>
    <t>・・・・・②</t>
    <phoneticPr fontId="2"/>
  </si>
  <si>
    <t>＝</t>
    <phoneticPr fontId="2"/>
  </si>
  <si>
    <t>＝</t>
    <phoneticPr fontId="2"/>
  </si>
  <si>
    <t>cm/s</t>
    <phoneticPr fontId="2"/>
  </si>
  <si>
    <t>＝</t>
    <phoneticPr fontId="2"/>
  </si>
  <si>
    <t>＝</t>
    <phoneticPr fontId="2"/>
  </si>
  <si>
    <t>＝</t>
    <phoneticPr fontId="2"/>
  </si>
  <si>
    <t>＝</t>
    <phoneticPr fontId="2"/>
  </si>
  <si>
    <t>ｍ</t>
    <phoneticPr fontId="2"/>
  </si>
  <si>
    <t>＝</t>
    <phoneticPr fontId="2"/>
  </si>
  <si>
    <t>＝</t>
    <phoneticPr fontId="2"/>
  </si>
  <si>
    <t>＝</t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</si>
  <si>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</si>
  <si>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/s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</si>
  <si>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</si>
  <si>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</si>
  <si>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/s</t>
    </r>
    <phoneticPr fontId="2"/>
  </si>
  <si>
    <t>ｍ</t>
    <phoneticPr fontId="2"/>
  </si>
  <si>
    <t>流末水路間隔 L</t>
    <phoneticPr fontId="2"/>
  </si>
  <si>
    <t>・・・・・①</t>
    <phoneticPr fontId="2"/>
  </si>
  <si>
    <t>・・・・・②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</si>
  <si>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/s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</si>
  <si>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</si>
  <si>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</si>
  <si>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</si>
  <si>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</si>
  <si>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</si>
  <si>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</si>
  <si>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</si>
  <si>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</si>
  <si>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</si>
  <si>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</si>
  <si>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</si>
  <si>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</si>
  <si>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</si>
  <si>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</si>
  <si>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</si>
  <si>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</si>
  <si>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</si>
  <si>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</si>
  <si>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</si>
  <si>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</si>
  <si>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</si>
  <si>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t>申請地が市街化区域及びＤＩＤ地区の場合、申請地が集水可能な沿道幅に収まっているかを確認します。</t>
    <rPh sb="0" eb="2">
      <t>シンセイ</t>
    </rPh>
    <rPh sb="2" eb="3">
      <t>チ</t>
    </rPh>
    <rPh sb="4" eb="7">
      <t>シガイカ</t>
    </rPh>
    <rPh sb="7" eb="9">
      <t>クイキ</t>
    </rPh>
    <rPh sb="9" eb="10">
      <t>オヨ</t>
    </rPh>
    <rPh sb="14" eb="16">
      <t>チク</t>
    </rPh>
    <rPh sb="17" eb="19">
      <t>バアイ</t>
    </rPh>
    <rPh sb="20" eb="22">
      <t>シンセイ</t>
    </rPh>
    <rPh sb="22" eb="23">
      <t>チ</t>
    </rPh>
    <rPh sb="24" eb="25">
      <t>アツ</t>
    </rPh>
    <rPh sb="25" eb="26">
      <t>ミズ</t>
    </rPh>
    <rPh sb="26" eb="28">
      <t>カノウ</t>
    </rPh>
    <rPh sb="29" eb="31">
      <t>エンドウ</t>
    </rPh>
    <rPh sb="31" eb="32">
      <t>ハバ</t>
    </rPh>
    <phoneticPr fontId="2"/>
  </si>
  <si>
    <t>超過した場合は流出抑制対策が必要です。</t>
    <rPh sb="14" eb="16">
      <t>ヒツヨウ</t>
    </rPh>
    <phoneticPr fontId="2"/>
  </si>
  <si>
    <t>↓</t>
    <phoneticPr fontId="2"/>
  </si>
  <si>
    <t>前項までに算出した数値（再掲）</t>
    <rPh sb="5" eb="7">
      <t>サンシュツ</t>
    </rPh>
    <rPh sb="12" eb="14">
      <t>サイケイ</t>
    </rPh>
    <phoneticPr fontId="2"/>
  </si>
  <si>
    <t xml:space="preserve"> ①＞②のため、流出抑制対策が必要。</t>
    <rPh sb="8" eb="10">
      <t>リュウシュツ</t>
    </rPh>
    <rPh sb="10" eb="12">
      <t>ヨクセイ</t>
    </rPh>
    <rPh sb="12" eb="14">
      <t>タイサク</t>
    </rPh>
    <rPh sb="15" eb="17">
      <t>ヒツヨウ</t>
    </rPh>
    <phoneticPr fontId="2"/>
  </si>
  <si>
    <t xml:space="preserve"> ①＜②のため、流出抑制対策は不要。</t>
    <rPh sb="8" eb="10">
      <t>リュウシュツ</t>
    </rPh>
    <rPh sb="10" eb="12">
      <t>ヨクセイ</t>
    </rPh>
    <rPh sb="12" eb="14">
      <t>タイサク</t>
    </rPh>
    <rPh sb="15" eb="17">
      <t>フヨウ</t>
    </rPh>
    <phoneticPr fontId="2"/>
  </si>
  <si>
    <t xml:space="preserve"> ①＞②のため、別途対策を行う。</t>
    <rPh sb="8" eb="10">
      <t>ベット</t>
    </rPh>
    <rPh sb="10" eb="12">
      <t>タイサク</t>
    </rPh>
    <rPh sb="13" eb="14">
      <t>オコナ</t>
    </rPh>
    <phoneticPr fontId="2"/>
  </si>
  <si>
    <t xml:space="preserve"> ①＜②のため、以上の流出抑制対策を行う。</t>
    <rPh sb="8" eb="10">
      <t>イジョウ</t>
    </rPh>
    <rPh sb="11" eb="13">
      <t>リュウシュツ</t>
    </rPh>
    <rPh sb="13" eb="15">
      <t>ヨクセイ</t>
    </rPh>
    <rPh sb="15" eb="17">
      <t>タイサク</t>
    </rPh>
    <rPh sb="18" eb="19">
      <t>オコナ</t>
    </rPh>
    <phoneticPr fontId="2"/>
  </si>
  <si>
    <t>【流出抑制対策の内容と抑制量】</t>
    <rPh sb="1" eb="3">
      <t>リュウシュツ</t>
    </rPh>
    <rPh sb="3" eb="5">
      <t>ヨクセイ</t>
    </rPh>
    <rPh sb="5" eb="7">
      <t>タイサク</t>
    </rPh>
    <rPh sb="8" eb="10">
      <t>ナイヨウ</t>
    </rPh>
    <rPh sb="11" eb="14">
      <t>ヨクセイリョウ</t>
    </rPh>
    <phoneticPr fontId="2"/>
  </si>
  <si>
    <t>【流出抑制対策の判定】</t>
    <rPh sb="1" eb="3">
      <t>リュウシュツ</t>
    </rPh>
    <rPh sb="3" eb="5">
      <t>ヨクセイ</t>
    </rPh>
    <rPh sb="5" eb="7">
      <t>タイサク</t>
    </rPh>
    <rPh sb="8" eb="10">
      <t>ハンテイ</t>
    </rPh>
    <phoneticPr fontId="2"/>
  </si>
  <si>
    <t>※1　　トレンチ管または側溝の内空断面積を右欄に記入。</t>
    <rPh sb="8" eb="9">
      <t>カン</t>
    </rPh>
    <rPh sb="12" eb="14">
      <t>ソッコウ</t>
    </rPh>
    <rPh sb="15" eb="16">
      <t>ナイ</t>
    </rPh>
    <rPh sb="16" eb="17">
      <t>クウ</t>
    </rPh>
    <rPh sb="17" eb="20">
      <t>ダンメンセキ</t>
    </rPh>
    <rPh sb="21" eb="22">
      <t>ミギ</t>
    </rPh>
    <rPh sb="22" eb="23">
      <t>ラン</t>
    </rPh>
    <rPh sb="24" eb="26">
      <t>キニュウ</t>
    </rPh>
    <phoneticPr fontId="2"/>
  </si>
  <si>
    <t>抑制対策量T（再掲）</t>
    <rPh sb="7" eb="9">
      <t>サイケイ</t>
    </rPh>
    <phoneticPr fontId="2"/>
  </si>
  <si>
    <t>前項までに算出した数値（再掲）及び係数</t>
    <rPh sb="15" eb="16">
      <t>オヨ</t>
    </rPh>
    <rPh sb="17" eb="19">
      <t>ケイスウ</t>
    </rPh>
    <phoneticPr fontId="2"/>
  </si>
  <si>
    <t>土壌の飽和透水係数k0 =</t>
    <phoneticPr fontId="2"/>
  </si>
  <si>
    <t>※標準0.005</t>
    <rPh sb="1" eb="3">
      <t>ヒョウジュン</t>
    </rPh>
    <phoneticPr fontId="2"/>
  </si>
  <si>
    <t>※現地浸透試験を行った場合は、その結果を入力。</t>
    <rPh sb="1" eb="3">
      <t>ゲンチ</t>
    </rPh>
    <rPh sb="3" eb="5">
      <t>シントウ</t>
    </rPh>
    <rPh sb="5" eb="7">
      <t>シケン</t>
    </rPh>
    <rPh sb="8" eb="9">
      <t>オコナ</t>
    </rPh>
    <rPh sb="11" eb="13">
      <t>バアイ</t>
    </rPh>
    <rPh sb="17" eb="19">
      <t>ケッカ</t>
    </rPh>
    <rPh sb="20" eb="22">
      <t>ニュウリョク</t>
    </rPh>
    <phoneticPr fontId="2"/>
  </si>
  <si>
    <r>
      <t>係数a * 設計水頭H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+ 係数b * 設計水頭H + 係数ｃ</t>
    </r>
    <rPh sb="0" eb="2">
      <t>ケイスウ</t>
    </rPh>
    <rPh sb="6" eb="8">
      <t>セッケイ</t>
    </rPh>
    <rPh sb="8" eb="10">
      <t>スイトウ</t>
    </rPh>
    <rPh sb="15" eb="17">
      <t>ケイスウ</t>
    </rPh>
    <rPh sb="21" eb="23">
      <t>セッケイ</t>
    </rPh>
    <rPh sb="23" eb="25">
      <t>スイトウ</t>
    </rPh>
    <rPh sb="29" eb="31">
      <t>ケイスウ</t>
    </rPh>
    <phoneticPr fontId="2"/>
  </si>
  <si>
    <t>枡本体の貯留効果 + 砕石の貯留効果</t>
    <rPh sb="0" eb="1">
      <t>マス</t>
    </rPh>
    <rPh sb="1" eb="3">
      <t>ホンタイ</t>
    </rPh>
    <rPh sb="4" eb="6">
      <t>チョリュウ</t>
    </rPh>
    <rPh sb="6" eb="8">
      <t>コウカ</t>
    </rPh>
    <rPh sb="11" eb="13">
      <t>サイセキ</t>
    </rPh>
    <rPh sb="14" eb="16">
      <t>チョリュウ</t>
    </rPh>
    <rPh sb="16" eb="18">
      <t>コウカ</t>
    </rPh>
    <phoneticPr fontId="2"/>
  </si>
  <si>
    <t>枡本体の貯留効果</t>
    <rPh sb="0" eb="1">
      <t>マス</t>
    </rPh>
    <rPh sb="1" eb="3">
      <t>ホンタイ</t>
    </rPh>
    <rPh sb="4" eb="6">
      <t>チョリュウ</t>
    </rPh>
    <rPh sb="6" eb="8">
      <t>コウカ</t>
    </rPh>
    <phoneticPr fontId="2"/>
  </si>
  <si>
    <t>枡本体の内径 =</t>
    <rPh sb="0" eb="1">
      <t>マス</t>
    </rPh>
    <rPh sb="1" eb="3">
      <t>ホンタイ</t>
    </rPh>
    <rPh sb="4" eb="6">
      <t>ナイケイ</t>
    </rPh>
    <phoneticPr fontId="2"/>
  </si>
  <si>
    <t>断面積 =</t>
    <rPh sb="0" eb="3">
      <t>ダンメンセキ</t>
    </rPh>
    <phoneticPr fontId="2"/>
  </si>
  <si>
    <t>枡本体の高さ =</t>
    <rPh sb="0" eb="1">
      <t>マス</t>
    </rPh>
    <rPh sb="1" eb="3">
      <t>ホンタイ</t>
    </rPh>
    <rPh sb="4" eb="5">
      <t>タカ</t>
    </rPh>
    <phoneticPr fontId="2"/>
  </si>
  <si>
    <t>側面・底面　ｗ≦1m</t>
    <phoneticPr fontId="2"/>
  </si>
  <si>
    <t>側面・底面　1＜w≦10</t>
    <phoneticPr fontId="2"/>
  </si>
  <si>
    <t>その他（　　　　　　　　）※４</t>
    <rPh sb="2" eb="3">
      <t>タ</t>
    </rPh>
    <phoneticPr fontId="2"/>
  </si>
  <si>
    <t>※４　　別紙に浸透対策量、貯留効果の算出根拠を添付すること。</t>
    <rPh sb="4" eb="6">
      <t>ベッシ</t>
    </rPh>
    <rPh sb="7" eb="9">
      <t>シントウ</t>
    </rPh>
    <rPh sb="9" eb="11">
      <t>タイサク</t>
    </rPh>
    <rPh sb="11" eb="12">
      <t>リョウ</t>
    </rPh>
    <rPh sb="13" eb="15">
      <t>チョリュウ</t>
    </rPh>
    <rPh sb="15" eb="17">
      <t>コウカ</t>
    </rPh>
    <rPh sb="18" eb="20">
      <t>サンシュツ</t>
    </rPh>
    <rPh sb="20" eb="22">
      <t>コンキョ</t>
    </rPh>
    <rPh sb="23" eb="25">
      <t>テンプ</t>
    </rPh>
    <phoneticPr fontId="2"/>
  </si>
  <si>
    <t>※2　　枡の内径及び高さを右欄に記入。（W≦1m）</t>
    <rPh sb="4" eb="5">
      <t>マス</t>
    </rPh>
    <rPh sb="6" eb="8">
      <t>ナイケイ</t>
    </rPh>
    <rPh sb="8" eb="9">
      <t>オヨ</t>
    </rPh>
    <rPh sb="10" eb="11">
      <t>タカ</t>
    </rPh>
    <rPh sb="13" eb="14">
      <t>ミギ</t>
    </rPh>
    <rPh sb="14" eb="15">
      <t>ラン</t>
    </rPh>
    <rPh sb="16" eb="18">
      <t>キニュウ</t>
    </rPh>
    <phoneticPr fontId="2"/>
  </si>
  <si>
    <t>内径</t>
    <rPh sb="0" eb="2">
      <t>ナイケイ</t>
    </rPh>
    <phoneticPr fontId="2"/>
  </si>
  <si>
    <t>高さ</t>
    <rPh sb="0" eb="1">
      <t>タカ</t>
    </rPh>
    <phoneticPr fontId="2"/>
  </si>
  <si>
    <r>
      <t>（枡本体の内径/2）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*π * 枡本体の高さ * 数量（個数）</t>
    </r>
    <rPh sb="1" eb="2">
      <t>マス</t>
    </rPh>
    <rPh sb="2" eb="4">
      <t>ホンタイ</t>
    </rPh>
    <rPh sb="5" eb="7">
      <t>ナイケイ</t>
    </rPh>
    <rPh sb="17" eb="18">
      <t>マス</t>
    </rPh>
    <rPh sb="18" eb="20">
      <t>ホンタイ</t>
    </rPh>
    <rPh sb="21" eb="22">
      <t>タカ</t>
    </rPh>
    <rPh sb="26" eb="28">
      <t>スウリョウ</t>
    </rPh>
    <rPh sb="29" eb="31">
      <t>コスウ</t>
    </rPh>
    <phoneticPr fontId="2"/>
  </si>
  <si>
    <r>
      <t>（設計水頭H * 施設幅W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- 枡本体の体積） * 数量（個数）* 砕石の平均空隙率</t>
    </r>
    <rPh sb="1" eb="3">
      <t>セッケイ</t>
    </rPh>
    <rPh sb="3" eb="5">
      <t>スイトウ</t>
    </rPh>
    <rPh sb="9" eb="11">
      <t>シセツ</t>
    </rPh>
    <rPh sb="11" eb="12">
      <t>ハバ</t>
    </rPh>
    <rPh sb="17" eb="18">
      <t>マス</t>
    </rPh>
    <rPh sb="18" eb="20">
      <t>ホンタイ</t>
    </rPh>
    <rPh sb="21" eb="23">
      <t>タイセキ</t>
    </rPh>
    <rPh sb="27" eb="29">
      <t>スウリョウ</t>
    </rPh>
    <rPh sb="30" eb="32">
      <t>コスウ</t>
    </rPh>
    <rPh sb="35" eb="37">
      <t>サイセキ</t>
    </rPh>
    <rPh sb="38" eb="40">
      <t>ヘイキン</t>
    </rPh>
    <rPh sb="40" eb="42">
      <t>クウゲキ</t>
    </rPh>
    <rPh sb="42" eb="43">
      <t>リツ</t>
    </rPh>
    <phoneticPr fontId="2"/>
  </si>
  <si>
    <t>枡本体の体積</t>
    <rPh sb="0" eb="1">
      <t>マス</t>
    </rPh>
    <rPh sb="1" eb="3">
      <t>ホンタイ</t>
    </rPh>
    <rPh sb="4" eb="6">
      <t>タイセキ</t>
    </rPh>
    <phoneticPr fontId="2"/>
  </si>
  <si>
    <t>（枡本体の内径/2）2 *π * 枡本体の高さ</t>
    <rPh sb="1" eb="2">
      <t>マス</t>
    </rPh>
    <rPh sb="2" eb="4">
      <t>ホンタイ</t>
    </rPh>
    <rPh sb="5" eb="7">
      <t>ナイケイ</t>
    </rPh>
    <rPh sb="17" eb="18">
      <t>マス</t>
    </rPh>
    <rPh sb="18" eb="20">
      <t>ホンタイ</t>
    </rPh>
    <rPh sb="21" eb="22">
      <t>タカ</t>
    </rPh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</si>
  <si>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</si>
  <si>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t>【浸透枡（正方形）側面・底面】　１m＜ｗ≦10m</t>
    <rPh sb="1" eb="4">
      <t>シントウマス</t>
    </rPh>
    <rPh sb="5" eb="8">
      <t>セイホウケイ</t>
    </rPh>
    <rPh sb="9" eb="11">
      <t>ソクメン</t>
    </rPh>
    <rPh sb="12" eb="14">
      <t>テイメン</t>
    </rPh>
    <phoneticPr fontId="2"/>
  </si>
  <si>
    <r>
      <t>-0.453 * 施設幅W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+ 8.289 * 施設幅W + 0.753</t>
    </r>
    <phoneticPr fontId="2"/>
  </si>
  <si>
    <r>
      <t>1.458 * 施設幅W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+ 1.27 * 施設幅W + 0.362</t>
    </r>
    <phoneticPr fontId="2"/>
  </si>
  <si>
    <t>上記指針は、次のサイトからダウンロードできます。</t>
    <rPh sb="0" eb="2">
      <t>ジョウキ</t>
    </rPh>
    <rPh sb="2" eb="4">
      <t>シシン</t>
    </rPh>
    <rPh sb="6" eb="7">
      <t>ツギ</t>
    </rPh>
    <phoneticPr fontId="2"/>
  </si>
  <si>
    <t>『新川流域・境川流域の総合治水対策』　新川流域総合治水対策協議会事務局</t>
    <phoneticPr fontId="2"/>
  </si>
  <si>
    <t>その他区域（調整区域等）</t>
    <rPh sb="2" eb="3">
      <t>タ</t>
    </rPh>
    <rPh sb="3" eb="5">
      <t>クイキ</t>
    </rPh>
    <rPh sb="6" eb="8">
      <t>チョウセイ</t>
    </rPh>
    <rPh sb="8" eb="10">
      <t>クイキ</t>
    </rPh>
    <rPh sb="10" eb="11">
      <t>トウ</t>
    </rPh>
    <phoneticPr fontId="2"/>
  </si>
  <si>
    <t>【流入量の算定】</t>
    <rPh sb="1" eb="3">
      <t>リュウニュウ</t>
    </rPh>
    <rPh sb="3" eb="4">
      <t>リョウ</t>
    </rPh>
    <rPh sb="5" eb="7">
      <t>サンテイ</t>
    </rPh>
    <phoneticPr fontId="2"/>
  </si>
  <si>
    <t>道路の流出係数</t>
    <rPh sb="0" eb="2">
      <t>ドウロ</t>
    </rPh>
    <rPh sb="3" eb="5">
      <t>リュウシュツ</t>
    </rPh>
    <rPh sb="5" eb="7">
      <t>ケイスウ</t>
    </rPh>
    <phoneticPr fontId="2"/>
  </si>
  <si>
    <t>流末水路間で道路側溝断面の変化がある場合、それぞれの区間で沿道幅を算定し、狭いほうを採用してください。</t>
    <rPh sb="0" eb="1">
      <t>リュウ</t>
    </rPh>
    <rPh sb="1" eb="2">
      <t>マツ</t>
    </rPh>
    <rPh sb="2" eb="4">
      <t>スイロ</t>
    </rPh>
    <rPh sb="4" eb="5">
      <t>カン</t>
    </rPh>
    <rPh sb="6" eb="8">
      <t>ドウロ</t>
    </rPh>
    <rPh sb="8" eb="10">
      <t>ソッコウ</t>
    </rPh>
    <rPh sb="10" eb="12">
      <t>ダンメン</t>
    </rPh>
    <rPh sb="13" eb="15">
      <t>ヘンカ</t>
    </rPh>
    <rPh sb="18" eb="20">
      <t>バアイ</t>
    </rPh>
    <rPh sb="26" eb="28">
      <t>クカン</t>
    </rPh>
    <rPh sb="29" eb="31">
      <t>エンドウ</t>
    </rPh>
    <rPh sb="31" eb="32">
      <t>ハバ</t>
    </rPh>
    <rPh sb="33" eb="35">
      <t>サンテイ</t>
    </rPh>
    <rPh sb="37" eb="38">
      <t>セマ</t>
    </rPh>
    <rPh sb="42" eb="44">
      <t>サイヨウ</t>
    </rPh>
    <phoneticPr fontId="2"/>
  </si>
  <si>
    <t>ただし、山間部における法面など地形的に集水が想定される区域は、流入量に加算してください。</t>
    <rPh sb="4" eb="7">
      <t>サンカンブ</t>
    </rPh>
    <rPh sb="11" eb="12">
      <t>ノリ</t>
    </rPh>
    <rPh sb="12" eb="13">
      <t>メン</t>
    </rPh>
    <rPh sb="15" eb="18">
      <t>チケイテキ</t>
    </rPh>
    <rPh sb="19" eb="21">
      <t>シュウスイ</t>
    </rPh>
    <rPh sb="22" eb="24">
      <t>ソウテイ</t>
    </rPh>
    <rPh sb="27" eb="29">
      <t>クイキ</t>
    </rPh>
    <rPh sb="31" eb="33">
      <t>リュウニュウ</t>
    </rPh>
    <rPh sb="33" eb="34">
      <t>リョウ</t>
    </rPh>
    <rPh sb="35" eb="37">
      <t>カサン</t>
    </rPh>
    <phoneticPr fontId="2"/>
  </si>
  <si>
    <t>流末水路間に市街地区域又はＤＩＤ地区が含まれている場合は、市街地区域の算定方法となるので注意してください。</t>
    <rPh sb="0" eb="1">
      <t>リュウ</t>
    </rPh>
    <rPh sb="1" eb="2">
      <t>マツ</t>
    </rPh>
    <rPh sb="2" eb="4">
      <t>スイロ</t>
    </rPh>
    <rPh sb="4" eb="5">
      <t>カン</t>
    </rPh>
    <rPh sb="6" eb="9">
      <t>シガイチ</t>
    </rPh>
    <rPh sb="9" eb="11">
      <t>クイキ</t>
    </rPh>
    <rPh sb="11" eb="12">
      <t>マタ</t>
    </rPh>
    <rPh sb="16" eb="18">
      <t>チク</t>
    </rPh>
    <rPh sb="19" eb="20">
      <t>フク</t>
    </rPh>
    <rPh sb="25" eb="27">
      <t>バアイ</t>
    </rPh>
    <rPh sb="29" eb="32">
      <t>シガイチ</t>
    </rPh>
    <rPh sb="32" eb="34">
      <t>クイキ</t>
    </rPh>
    <rPh sb="35" eb="37">
      <t>サンテイ</t>
    </rPh>
    <rPh sb="37" eb="39">
      <t>ホウホウ</t>
    </rPh>
    <rPh sb="44" eb="46">
      <t>チュウイ</t>
    </rPh>
    <phoneticPr fontId="2"/>
  </si>
  <si>
    <t>申請地が市街化区域及びＤＩＤ地区ではない場合、道路区域と申請地からの流入を確認します。</t>
    <rPh sb="0" eb="2">
      <t>シンセイ</t>
    </rPh>
    <rPh sb="2" eb="3">
      <t>チ</t>
    </rPh>
    <rPh sb="4" eb="7">
      <t>シガイカ</t>
    </rPh>
    <rPh sb="7" eb="9">
      <t>クイキ</t>
    </rPh>
    <rPh sb="9" eb="10">
      <t>オヨ</t>
    </rPh>
    <rPh sb="14" eb="16">
      <t>チク</t>
    </rPh>
    <rPh sb="20" eb="22">
      <t>バアイ</t>
    </rPh>
    <rPh sb="23" eb="25">
      <t>ドウロ</t>
    </rPh>
    <rPh sb="25" eb="27">
      <t>クイキ</t>
    </rPh>
    <rPh sb="28" eb="30">
      <t>シンセイ</t>
    </rPh>
    <rPh sb="30" eb="31">
      <t>チ</t>
    </rPh>
    <rPh sb="34" eb="36">
      <t>リュウニュウ</t>
    </rPh>
    <rPh sb="37" eb="39">
      <t>カクニン</t>
    </rPh>
    <phoneticPr fontId="2"/>
  </si>
  <si>
    <t>ア　路面</t>
    <rPh sb="2" eb="4">
      <t>ロメン</t>
    </rPh>
    <phoneticPr fontId="2"/>
  </si>
  <si>
    <t>建ぺい率60%:0.6、建ぺい率80%:0.9</t>
    <phoneticPr fontId="2"/>
  </si>
  <si>
    <t>申請地の流出係数</t>
    <rPh sb="0" eb="2">
      <t>シンセイ</t>
    </rPh>
    <rPh sb="2" eb="3">
      <t>チ</t>
    </rPh>
    <rPh sb="4" eb="6">
      <t>リュウシュツ</t>
    </rPh>
    <rPh sb="6" eb="8">
      <t>ケイスウ</t>
    </rPh>
    <phoneticPr fontId="2"/>
  </si>
  <si>
    <t>イ　法面（土）</t>
    <rPh sb="2" eb="3">
      <t>ノリ</t>
    </rPh>
    <rPh sb="3" eb="4">
      <t>メン</t>
    </rPh>
    <rPh sb="5" eb="6">
      <t>ツチ</t>
    </rPh>
    <phoneticPr fontId="2"/>
  </si>
  <si>
    <t>法面（土）の流出係数</t>
    <rPh sb="0" eb="1">
      <t>ノリ</t>
    </rPh>
    <rPh sb="1" eb="2">
      <t>メン</t>
    </rPh>
    <rPh sb="3" eb="4">
      <t>ツチ</t>
    </rPh>
    <rPh sb="6" eb="8">
      <t>リュウシュツ</t>
    </rPh>
    <rPh sb="8" eb="10">
      <t>ケイスウ</t>
    </rPh>
    <phoneticPr fontId="2"/>
  </si>
  <si>
    <t>法面(土）の面積</t>
    <rPh sb="0" eb="1">
      <t>ノリ</t>
    </rPh>
    <rPh sb="1" eb="2">
      <t>メン</t>
    </rPh>
    <rPh sb="3" eb="4">
      <t>ツチ</t>
    </rPh>
    <rPh sb="6" eb="8">
      <t>メンセキ</t>
    </rPh>
    <phoneticPr fontId="2"/>
  </si>
  <si>
    <t>ウ　法面（岩）</t>
    <rPh sb="2" eb="3">
      <t>ノリ</t>
    </rPh>
    <rPh sb="3" eb="4">
      <t>メン</t>
    </rPh>
    <rPh sb="5" eb="6">
      <t>イワ</t>
    </rPh>
    <phoneticPr fontId="2"/>
  </si>
  <si>
    <t>法面（岩）の流出係数</t>
    <rPh sb="0" eb="1">
      <t>ノリ</t>
    </rPh>
    <rPh sb="1" eb="2">
      <t>メン</t>
    </rPh>
    <rPh sb="3" eb="4">
      <t>イワ</t>
    </rPh>
    <rPh sb="6" eb="8">
      <t>リュウシュツ</t>
    </rPh>
    <rPh sb="8" eb="10">
      <t>ケイスウ</t>
    </rPh>
    <phoneticPr fontId="2"/>
  </si>
  <si>
    <t>法面(岩）の面積</t>
    <rPh sb="0" eb="1">
      <t>ノリ</t>
    </rPh>
    <rPh sb="1" eb="2">
      <t>メン</t>
    </rPh>
    <rPh sb="3" eb="4">
      <t>イワ</t>
    </rPh>
    <rPh sb="6" eb="8">
      <t>メンセキ</t>
    </rPh>
    <phoneticPr fontId="2"/>
  </si>
  <si>
    <t>地域的集水区域の流出係数</t>
    <rPh sb="0" eb="3">
      <t>チイキテキ</t>
    </rPh>
    <rPh sb="3" eb="5">
      <t>シュウスイ</t>
    </rPh>
    <rPh sb="5" eb="7">
      <t>クイキ</t>
    </rPh>
    <rPh sb="8" eb="10">
      <t>リュウシュツ</t>
    </rPh>
    <rPh sb="10" eb="12">
      <t>ケイスウ</t>
    </rPh>
    <phoneticPr fontId="2"/>
  </si>
  <si>
    <t>地域的集水区域の面積</t>
    <rPh sb="0" eb="3">
      <t>チイキテキ</t>
    </rPh>
    <rPh sb="3" eb="5">
      <t>シュウスイ</t>
    </rPh>
    <rPh sb="5" eb="7">
      <t>クイキ</t>
    </rPh>
    <rPh sb="8" eb="10">
      <t>メンセキ</t>
    </rPh>
    <phoneticPr fontId="2"/>
  </si>
  <si>
    <t>道路路面面積の1/2</t>
    <rPh sb="0" eb="2">
      <t>ドウロ</t>
    </rPh>
    <rPh sb="2" eb="4">
      <t>ロメン</t>
    </rPh>
    <rPh sb="4" eb="6">
      <t>メンセキ</t>
    </rPh>
    <phoneticPr fontId="2"/>
  </si>
  <si>
    <t>（１）　申請地からの雨水流入量Q</t>
    <phoneticPr fontId="2"/>
  </si>
  <si>
    <t>（２）　浄化槽の放水量</t>
    <rPh sb="4" eb="7">
      <t>ジョウカソウ</t>
    </rPh>
    <rPh sb="8" eb="10">
      <t>ホウスイ</t>
    </rPh>
    <rPh sb="10" eb="11">
      <t>リョウ</t>
    </rPh>
    <phoneticPr fontId="2"/>
  </si>
  <si>
    <t>（３）　道路区域からの雨水流入量</t>
    <rPh sb="4" eb="6">
      <t>ドウロ</t>
    </rPh>
    <rPh sb="6" eb="8">
      <t>クイキ</t>
    </rPh>
    <rPh sb="11" eb="13">
      <t>ウスイ</t>
    </rPh>
    <rPh sb="13" eb="15">
      <t>リュウニュウ</t>
    </rPh>
    <rPh sb="15" eb="16">
      <t>リョウ</t>
    </rPh>
    <phoneticPr fontId="2"/>
  </si>
  <si>
    <t>（４）　地形的に想定される集水区域からの雨水流入量</t>
    <rPh sb="4" eb="7">
      <t>チケイテキ</t>
    </rPh>
    <rPh sb="8" eb="10">
      <t>ソウテイ</t>
    </rPh>
    <rPh sb="13" eb="15">
      <t>シュウスイ</t>
    </rPh>
    <rPh sb="15" eb="17">
      <t>クイキ</t>
    </rPh>
    <rPh sb="20" eb="22">
      <t>アマミズ</t>
    </rPh>
    <rPh sb="22" eb="24">
      <t>リュウニュウ</t>
    </rPh>
    <rPh sb="24" eb="25">
      <t>リョウ</t>
    </rPh>
    <phoneticPr fontId="2"/>
  </si>
  <si>
    <t>流入量合計</t>
    <rPh sb="0" eb="2">
      <t>リュウニュウ</t>
    </rPh>
    <rPh sb="2" eb="3">
      <t>リョウ</t>
    </rPh>
    <rPh sb="3" eb="5">
      <t>ゴウケイ</t>
    </rPh>
    <phoneticPr fontId="2"/>
  </si>
  <si>
    <t>page ３</t>
    <phoneticPr fontId="2"/>
  </si>
  <si>
    <t>・・・・・②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</si>
  <si>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</si>
  <si>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t>『新川流域・境川流域の総合治水対策』　新川流域総合治水対策協議会事務局</t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</si>
  <si>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</si>
  <si>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ｍ</t>
    <phoneticPr fontId="2"/>
  </si>
  <si>
    <t>-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</si>
  <si>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</si>
  <si>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</si>
  <si>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t>側面・底面　ｗ≦1m</t>
    <phoneticPr fontId="2"/>
  </si>
  <si>
    <t>側面・底面　1＜w≦10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</si>
  <si>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</si>
  <si>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</si>
  <si>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</si>
  <si>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</si>
  <si>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</si>
  <si>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ｍ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</si>
  <si>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</si>
  <si>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t>・・・・・①</t>
    <phoneticPr fontId="2"/>
  </si>
  <si>
    <t>・・・・・②</t>
    <phoneticPr fontId="2"/>
  </si>
  <si>
    <t>↓</t>
    <phoneticPr fontId="2"/>
  </si>
  <si>
    <t>＝</t>
    <phoneticPr fontId="2"/>
  </si>
  <si>
    <t>＝</t>
    <phoneticPr fontId="2"/>
  </si>
  <si>
    <t>土壌の飽和透水係数k0 =</t>
    <phoneticPr fontId="2"/>
  </si>
  <si>
    <t>cm/s</t>
    <phoneticPr fontId="2"/>
  </si>
  <si>
    <t>設置施設の比浸透量kf</t>
    <phoneticPr fontId="2"/>
  </si>
  <si>
    <t>＝</t>
    <phoneticPr fontId="2"/>
  </si>
  <si>
    <t>＝</t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</si>
  <si>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</si>
  <si>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＝</t>
    <phoneticPr fontId="2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</si>
  <si>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</si>
  <si>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＝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</si>
  <si>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/hr</t>
    </r>
    <phoneticPr fontId="2"/>
  </si>
  <si>
    <t>＝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</si>
  <si>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</si>
  <si>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</si>
  <si>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t>＝</t>
    <phoneticPr fontId="2"/>
  </si>
  <si>
    <t>＝</t>
    <phoneticPr fontId="2"/>
  </si>
  <si>
    <t>ｍ</t>
    <phoneticPr fontId="2"/>
  </si>
  <si>
    <t>＝</t>
    <phoneticPr fontId="2"/>
  </si>
  <si>
    <t>ｍ</t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</si>
  <si>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</si>
  <si>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t>-0.453 * 施設幅W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+ 8.289 * 施設幅W + 0.753</t>
    </r>
    <phoneticPr fontId="2"/>
  </si>
  <si>
    <r>
      <t>1.458 * 施設幅W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 + 1.27 * 施設幅W + 0.362</t>
    </r>
    <phoneticPr fontId="2"/>
  </si>
  <si>
    <t>page ４</t>
    <phoneticPr fontId="2"/>
  </si>
  <si>
    <t>流入量 - 流下能力</t>
    <rPh sb="0" eb="2">
      <t>リュウニュウ</t>
    </rPh>
    <rPh sb="2" eb="3">
      <t>リョウ</t>
    </rPh>
    <rPh sb="6" eb="8">
      <t>リュウカ</t>
    </rPh>
    <rPh sb="8" eb="10">
      <t>ノウリョク</t>
    </rPh>
    <phoneticPr fontId="2"/>
  </si>
  <si>
    <t>※3　　枡の内径及び高さを右欄に記入。（1m＜W≦10m）</t>
    <rPh sb="4" eb="5">
      <t>マス</t>
    </rPh>
    <rPh sb="6" eb="8">
      <t>ナイケイ</t>
    </rPh>
    <rPh sb="8" eb="9">
      <t>オヨ</t>
    </rPh>
    <rPh sb="10" eb="11">
      <t>タカ</t>
    </rPh>
    <rPh sb="13" eb="14">
      <t>ミギ</t>
    </rPh>
    <rPh sb="14" eb="15">
      <t>ラン</t>
    </rPh>
    <rPh sb="16" eb="18">
      <t>キニュウ</t>
    </rPh>
    <phoneticPr fontId="2"/>
  </si>
  <si>
    <t>表　流出抑制対策　施工内容一覧表</t>
    <phoneticPr fontId="2"/>
  </si>
  <si>
    <t>流入量（再掲）</t>
    <rPh sb="0" eb="2">
      <t>リュウニュウ</t>
    </rPh>
    <rPh sb="2" eb="3">
      <t>リョウ</t>
    </rPh>
    <rPh sb="4" eb="6">
      <t>サイケイ</t>
    </rPh>
    <phoneticPr fontId="2"/>
  </si>
  <si>
    <t>流下能力（再掲）</t>
    <rPh sb="0" eb="2">
      <t>リュウカ</t>
    </rPh>
    <rPh sb="2" eb="4">
      <t>ノウリョク</t>
    </rPh>
    <rPh sb="5" eb="7">
      <t>サイケイ</t>
    </rPh>
    <phoneticPr fontId="2"/>
  </si>
  <si>
    <t>次頁にて流出抑制対策を検討する</t>
    <rPh sb="1" eb="2">
      <t>ページ</t>
    </rPh>
    <phoneticPr fontId="2"/>
  </si>
  <si>
    <r>
      <t>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/s</t>
    </r>
    <phoneticPr fontId="2"/>
  </si>
  <si>
    <t>通水断面積　A</t>
    <rPh sb="0" eb="2">
      <t>ツウスイ</t>
    </rPh>
    <rPh sb="2" eb="5">
      <t>ダンメンセキ</t>
    </rPh>
    <phoneticPr fontId="2"/>
  </si>
  <si>
    <t>平均流速　V</t>
    <rPh sb="0" eb="2">
      <t>ヘイキン</t>
    </rPh>
    <rPh sb="2" eb="4">
      <t>リュウソク</t>
    </rPh>
    <phoneticPr fontId="2"/>
  </si>
  <si>
    <t>粗度係数（再掲）　n</t>
    <rPh sb="0" eb="1">
      <t>アラ</t>
    </rPh>
    <rPh sb="1" eb="2">
      <t>ド</t>
    </rPh>
    <rPh sb="2" eb="4">
      <t>ケイスウ</t>
    </rPh>
    <rPh sb="5" eb="7">
      <t>サイケイ</t>
    </rPh>
    <phoneticPr fontId="2"/>
  </si>
  <si>
    <t>径深　R = A/P</t>
    <phoneticPr fontId="2"/>
  </si>
  <si>
    <t>潤辺長　P</t>
    <phoneticPr fontId="2"/>
  </si>
  <si>
    <t>水面勾配（再掲）　ｉ</t>
    <rPh sb="0" eb="2">
      <t>スイメン</t>
    </rPh>
    <rPh sb="2" eb="4">
      <t>コウバイ</t>
    </rPh>
    <rPh sb="5" eb="7">
      <t>サイケイ</t>
    </rPh>
    <phoneticPr fontId="2"/>
  </si>
  <si>
    <t>※※算出結果を左表3-1の水面勾配に記載すること。</t>
    <rPh sb="2" eb="4">
      <t>サンシュツ</t>
    </rPh>
    <rPh sb="4" eb="6">
      <t>ケッカ</t>
    </rPh>
    <rPh sb="7" eb="8">
      <t>ヒダリ</t>
    </rPh>
    <rPh sb="8" eb="9">
      <t>ヒョウ</t>
    </rPh>
    <rPh sb="13" eb="15">
      <t>スイメン</t>
    </rPh>
    <rPh sb="15" eb="17">
      <t>コウバイ</t>
    </rPh>
    <rPh sb="18" eb="20">
      <t>キサイ</t>
    </rPh>
    <phoneticPr fontId="2"/>
  </si>
  <si>
    <t>流量調整機能</t>
    <rPh sb="0" eb="2">
      <t>リュウリョウ</t>
    </rPh>
    <rPh sb="2" eb="4">
      <t>チョウセイ</t>
    </rPh>
    <rPh sb="4" eb="6">
      <t>キノウ</t>
    </rPh>
    <phoneticPr fontId="2"/>
  </si>
  <si>
    <t>※機能あり:1、なし:2</t>
    <rPh sb="1" eb="3">
      <t>キノウ</t>
    </rPh>
    <phoneticPr fontId="2"/>
  </si>
  <si>
    <t>日平均汚水量 * 係数c / （24h*60*60）</t>
    <rPh sb="9" eb="11">
      <t>ケイスウ</t>
    </rPh>
    <phoneticPr fontId="2"/>
  </si>
  <si>
    <t>係数c　流域調整機能</t>
    <rPh sb="0" eb="2">
      <t>ケイスウ</t>
    </rPh>
    <rPh sb="4" eb="6">
      <t>リュウイキ</t>
    </rPh>
    <rPh sb="6" eb="8">
      <t>チョウセイ</t>
    </rPh>
    <rPh sb="8" eb="10">
      <t>キノウ</t>
    </rPh>
    <phoneticPr fontId="2"/>
  </si>
  <si>
    <t>日平均汚水量 * 係数c  / （24h*60*60）</t>
    <phoneticPr fontId="2"/>
  </si>
  <si>
    <r>
      <t>浸透側溝・浸透トレンチ　</t>
    </r>
    <r>
      <rPr>
        <sz val="9"/>
        <color indexed="10"/>
        <rFont val="ＭＳ Ｐ明朝"/>
        <family val="1"/>
        <charset val="128"/>
      </rPr>
      <t>※1</t>
    </r>
    <rPh sb="0" eb="2">
      <t>シントウ</t>
    </rPh>
    <rPh sb="2" eb="4">
      <t>ソッコウ</t>
    </rPh>
    <rPh sb="5" eb="7">
      <t>シントウ</t>
    </rPh>
    <phoneticPr fontId="2"/>
  </si>
  <si>
    <r>
      <t>浸透枡（正方形）　</t>
    </r>
    <r>
      <rPr>
        <sz val="9"/>
        <color indexed="10"/>
        <rFont val="ＭＳ Ｐ明朝"/>
        <family val="1"/>
        <charset val="128"/>
      </rPr>
      <t>※２</t>
    </r>
    <rPh sb="0" eb="3">
      <t>シントウマス</t>
    </rPh>
    <rPh sb="4" eb="7">
      <t>セイホウケイ</t>
    </rPh>
    <phoneticPr fontId="2"/>
  </si>
  <si>
    <r>
      <t>浸透枡（正方形）　</t>
    </r>
    <r>
      <rPr>
        <sz val="9"/>
        <color indexed="10"/>
        <rFont val="ＭＳ Ｐ明朝"/>
        <family val="1"/>
        <charset val="128"/>
      </rPr>
      <t>※３</t>
    </r>
    <rPh sb="0" eb="3">
      <t>シントウマス</t>
    </rPh>
    <rPh sb="4" eb="7">
      <t>セイホウケイ</t>
    </rPh>
    <phoneticPr fontId="2"/>
  </si>
  <si>
    <t>page４　流出抑制量の算出根拠</t>
    <rPh sb="6" eb="8">
      <t>リュウシュツ</t>
    </rPh>
    <rPh sb="8" eb="11">
      <t>ヨクセイリョウ</t>
    </rPh>
    <rPh sb="12" eb="14">
      <t>サンシュツ</t>
    </rPh>
    <rPh sb="14" eb="16">
      <t>コンキョ</t>
    </rPh>
    <phoneticPr fontId="2"/>
  </si>
  <si>
    <t>※幅は歩道を含めた全幅
※延長は流始から流末まで
※複数の場合【別表１】に入力し、
   平均・合計を入力すること。</t>
    <rPh sb="1" eb="2">
      <t>ハバ</t>
    </rPh>
    <rPh sb="3" eb="5">
      <t>ホドウ</t>
    </rPh>
    <rPh sb="6" eb="7">
      <t>フク</t>
    </rPh>
    <rPh sb="9" eb="11">
      <t>ゼンプク</t>
    </rPh>
    <rPh sb="13" eb="15">
      <t>エンチョウ</t>
    </rPh>
    <rPh sb="16" eb="17">
      <t>リュウ</t>
    </rPh>
    <rPh sb="17" eb="18">
      <t>ハジ</t>
    </rPh>
    <rPh sb="20" eb="21">
      <t>リュウ</t>
    </rPh>
    <rPh sb="21" eb="22">
      <t>マツ</t>
    </rPh>
    <rPh sb="26" eb="28">
      <t>フクスウ</t>
    </rPh>
    <rPh sb="29" eb="31">
      <t>バアイ</t>
    </rPh>
    <rPh sb="32" eb="33">
      <t>ベツ</t>
    </rPh>
    <rPh sb="33" eb="34">
      <t>ヒョウ</t>
    </rPh>
    <rPh sb="37" eb="39">
      <t>ニュウリョク</t>
    </rPh>
    <rPh sb="45" eb="47">
      <t>ヘイキン</t>
    </rPh>
    <rPh sb="48" eb="50">
      <t>ゴウケイ</t>
    </rPh>
    <rPh sb="51" eb="53">
      <t>ニュウリョク</t>
    </rPh>
    <phoneticPr fontId="2"/>
  </si>
  <si>
    <r>
      <t xml:space="preserve">路面
</t>
    </r>
    <r>
      <rPr>
        <sz val="9"/>
        <rFont val="ＭＳ Ｐゴシック"/>
        <family val="3"/>
        <charset val="128"/>
      </rPr>
      <t>（当該県道を除く）</t>
    </r>
    <rPh sb="0" eb="2">
      <t>ロメン</t>
    </rPh>
    <rPh sb="4" eb="6">
      <t>トウガイ</t>
    </rPh>
    <rPh sb="6" eb="8">
      <t>ケンドウ</t>
    </rPh>
    <rPh sb="9" eb="10">
      <t>ノゾ</t>
    </rPh>
    <phoneticPr fontId="2"/>
  </si>
  <si>
    <r>
      <t>土砂等の阻害を考慮し、
安全率</t>
    </r>
    <r>
      <rPr>
        <sz val="9"/>
        <color indexed="36"/>
        <rFont val="ＭＳ Ｐゴシック"/>
        <family val="3"/>
        <charset val="128"/>
      </rPr>
      <t>0.7</t>
    </r>
    <r>
      <rPr>
        <sz val="9"/>
        <rFont val="ＭＳ Ｐゴシック"/>
        <family val="3"/>
        <charset val="128"/>
      </rPr>
      <t>を乗じた値である。</t>
    </r>
    <rPh sb="0" eb="2">
      <t>ドシャ</t>
    </rPh>
    <rPh sb="2" eb="3">
      <t>トウ</t>
    </rPh>
    <rPh sb="4" eb="6">
      <t>ソガイ</t>
    </rPh>
    <rPh sb="7" eb="9">
      <t>コウリョ</t>
    </rPh>
    <rPh sb="12" eb="14">
      <t>アンゼン</t>
    </rPh>
    <rPh sb="14" eb="15">
      <t>リツ</t>
    </rPh>
    <rPh sb="19" eb="20">
      <t>ジョウ</t>
    </rPh>
    <rPh sb="22" eb="23">
      <t>アタイ</t>
    </rPh>
    <phoneticPr fontId="2"/>
  </si>
  <si>
    <r>
      <t xml:space="preserve">放水量（m3/s） * 3,600,000 / 沿道敷地の流出係数 / </t>
    </r>
    <r>
      <rPr>
        <sz val="9"/>
        <color indexed="36"/>
        <rFont val="ＭＳ Ｐ明朝"/>
        <family val="1"/>
        <charset val="128"/>
      </rPr>
      <t>100</t>
    </r>
    <phoneticPr fontId="2"/>
  </si>
  <si>
    <r>
      <t>〔( 3,600,000 * 流下能力Ｑ ) - (</t>
    </r>
    <r>
      <rPr>
        <sz val="9"/>
        <color indexed="36"/>
        <rFont val="ＭＳ Ｐ明朝"/>
        <family val="1"/>
        <charset val="128"/>
      </rPr>
      <t xml:space="preserve"> 90</t>
    </r>
    <r>
      <rPr>
        <sz val="9"/>
        <rFont val="ＭＳ Ｐ明朝"/>
        <family val="1"/>
        <charset val="128"/>
      </rPr>
      <t xml:space="preserve"> * w / 2 * L )〕 / (沿道敷地の流出係数 * </t>
    </r>
    <r>
      <rPr>
        <sz val="9"/>
        <color indexed="36"/>
        <rFont val="ＭＳ Ｐ明朝"/>
        <family val="1"/>
        <charset val="128"/>
      </rPr>
      <t>100</t>
    </r>
    <r>
      <rPr>
        <sz val="9"/>
        <rFont val="ＭＳ Ｐ明朝"/>
        <family val="1"/>
        <charset val="128"/>
      </rPr>
      <t xml:space="preserve"> * L )</t>
    </r>
    <rPh sb="15" eb="17">
      <t>リュウカ</t>
    </rPh>
    <rPh sb="17" eb="19">
      <t>ノウリョク</t>
    </rPh>
    <rPh sb="48" eb="50">
      <t>エンドウ</t>
    </rPh>
    <rPh sb="50" eb="52">
      <t>シキチ</t>
    </rPh>
    <rPh sb="53" eb="55">
      <t>リュウシュツ</t>
    </rPh>
    <rPh sb="55" eb="57">
      <t>ケイスウ</t>
    </rPh>
    <phoneticPr fontId="2"/>
  </si>
  <si>
    <r>
      <t>1 / 3,600,000 * 沿道敷地の流出係数 *</t>
    </r>
    <r>
      <rPr>
        <sz val="9"/>
        <color indexed="10"/>
        <rFont val="ＭＳ Ｐ明朝"/>
        <family val="1"/>
        <charset val="128"/>
      </rPr>
      <t xml:space="preserve"> </t>
    </r>
    <r>
      <rPr>
        <sz val="9"/>
        <color indexed="36"/>
        <rFont val="ＭＳ Ｐ明朝"/>
        <family val="1"/>
        <charset val="128"/>
      </rPr>
      <t>100</t>
    </r>
    <r>
      <rPr>
        <sz val="9"/>
        <rFont val="ＭＳ Ｐ明朝"/>
        <family val="1"/>
        <charset val="128"/>
      </rPr>
      <t xml:space="preserve"> * 申請地の方形修正間口ｙ * 流出抑制対象幅</t>
    </r>
    <rPh sb="16" eb="18">
      <t>エンドウ</t>
    </rPh>
    <rPh sb="18" eb="20">
      <t>シキチ</t>
    </rPh>
    <rPh sb="21" eb="23">
      <t>リュウシュツ</t>
    </rPh>
    <rPh sb="23" eb="25">
      <t>ケイスウ</t>
    </rPh>
    <rPh sb="34" eb="36">
      <t>シンセイ</t>
    </rPh>
    <rPh sb="36" eb="37">
      <t>チ</t>
    </rPh>
    <rPh sb="38" eb="40">
      <t>ホウケイ</t>
    </rPh>
    <rPh sb="40" eb="42">
      <t>シュウセイ</t>
    </rPh>
    <rPh sb="42" eb="44">
      <t>マグチ</t>
    </rPh>
    <rPh sb="48" eb="50">
      <t>リュウシュツ</t>
    </rPh>
    <rPh sb="50" eb="52">
      <t>ヨクセイ</t>
    </rPh>
    <rPh sb="52" eb="54">
      <t>タイショウ</t>
    </rPh>
    <rPh sb="54" eb="55">
      <t>ハバ</t>
    </rPh>
    <phoneticPr fontId="2"/>
  </si>
  <si>
    <r>
      <t>「雨水浸透阻害行為許可等のための雨水貯留浸透施設設計・施行技術指針」（新川</t>
    </r>
    <r>
      <rPr>
        <sz val="9"/>
        <color indexed="36"/>
        <rFont val="ＭＳ Ｐ明朝"/>
        <family val="1"/>
        <charset val="128"/>
      </rPr>
      <t>・境川（逢妻川）・猿渡川</t>
    </r>
    <r>
      <rPr>
        <sz val="9"/>
        <rFont val="ＭＳ Ｐ明朝"/>
        <family val="1"/>
        <charset val="128"/>
      </rPr>
      <t>流域編）</t>
    </r>
    <rPh sb="1" eb="3">
      <t>ウスイ</t>
    </rPh>
    <rPh sb="3" eb="5">
      <t>シントウ</t>
    </rPh>
    <rPh sb="5" eb="7">
      <t>ソガイ</t>
    </rPh>
    <rPh sb="7" eb="9">
      <t>コウイ</t>
    </rPh>
    <rPh sb="9" eb="11">
      <t>キョカ</t>
    </rPh>
    <rPh sb="11" eb="12">
      <t>トウ</t>
    </rPh>
    <rPh sb="16" eb="18">
      <t>ウスイ</t>
    </rPh>
    <rPh sb="18" eb="20">
      <t>チョリュウ</t>
    </rPh>
    <rPh sb="20" eb="22">
      <t>シントウ</t>
    </rPh>
    <rPh sb="22" eb="24">
      <t>シセツ</t>
    </rPh>
    <rPh sb="24" eb="26">
      <t>セッケイ</t>
    </rPh>
    <rPh sb="27" eb="29">
      <t>セコウ</t>
    </rPh>
    <rPh sb="29" eb="31">
      <t>ギジュツ</t>
    </rPh>
    <rPh sb="31" eb="33">
      <t>シシン</t>
    </rPh>
    <rPh sb="35" eb="37">
      <t>シンカワ</t>
    </rPh>
    <rPh sb="38" eb="40">
      <t>サカイガワ</t>
    </rPh>
    <rPh sb="41" eb="42">
      <t>アイ</t>
    </rPh>
    <rPh sb="42" eb="43">
      <t>ツマ</t>
    </rPh>
    <rPh sb="43" eb="44">
      <t>ガワ</t>
    </rPh>
    <rPh sb="46" eb="48">
      <t>サワタリ</t>
    </rPh>
    <rPh sb="48" eb="49">
      <t>ガワ</t>
    </rPh>
    <rPh sb="49" eb="51">
      <t>リュウイキ</t>
    </rPh>
    <rPh sb="51" eb="52">
      <t>ヘン</t>
    </rPh>
    <phoneticPr fontId="2"/>
  </si>
  <si>
    <r>
      <t>1 / 3,600,000 * 流出係数C * 降雨強度I（</t>
    </r>
    <r>
      <rPr>
        <sz val="9"/>
        <color indexed="36"/>
        <rFont val="ＭＳ Ｐ明朝"/>
        <family val="1"/>
        <charset val="128"/>
      </rPr>
      <t>100</t>
    </r>
    <r>
      <rPr>
        <sz val="9"/>
        <rFont val="ＭＳ Ｐ明朝"/>
        <family val="1"/>
        <charset val="128"/>
      </rPr>
      <t>mm/h） * 申請地面積a</t>
    </r>
    <rPh sb="16" eb="18">
      <t>リュウシュツ</t>
    </rPh>
    <rPh sb="18" eb="20">
      <t>ケイスウ</t>
    </rPh>
    <rPh sb="24" eb="26">
      <t>コウウ</t>
    </rPh>
    <rPh sb="26" eb="28">
      <t>キョウド</t>
    </rPh>
    <rPh sb="41" eb="43">
      <t>シンセイ</t>
    </rPh>
    <rPh sb="43" eb="44">
      <t>チ</t>
    </rPh>
    <rPh sb="44" eb="46">
      <t>メンセキ</t>
    </rPh>
    <phoneticPr fontId="2"/>
  </si>
  <si>
    <r>
      <t>1 / 3,600,000 * 流出係数C * 降雨強度I</t>
    </r>
    <r>
      <rPr>
        <sz val="9"/>
        <color indexed="36"/>
        <rFont val="ＭＳ Ｐ明朝"/>
        <family val="1"/>
        <charset val="128"/>
      </rPr>
      <t>（100</t>
    </r>
    <r>
      <rPr>
        <sz val="9"/>
        <rFont val="ＭＳ Ｐ明朝"/>
        <family val="1"/>
        <charset val="128"/>
      </rPr>
      <t>mm/h） * 道路路面面積の1/2</t>
    </r>
    <rPh sb="16" eb="18">
      <t>リュウシュツ</t>
    </rPh>
    <rPh sb="18" eb="20">
      <t>ケイスウ</t>
    </rPh>
    <rPh sb="24" eb="26">
      <t>コウウ</t>
    </rPh>
    <rPh sb="26" eb="28">
      <t>キョウド</t>
    </rPh>
    <rPh sb="41" eb="43">
      <t>ドウロ</t>
    </rPh>
    <rPh sb="43" eb="45">
      <t>ロメン</t>
    </rPh>
    <rPh sb="45" eb="47">
      <t>メンセキ</t>
    </rPh>
    <phoneticPr fontId="2"/>
  </si>
  <si>
    <r>
      <t>1 / 3,600,000 * 流出係数C * 降雨強度I（</t>
    </r>
    <r>
      <rPr>
        <sz val="9"/>
        <color indexed="36"/>
        <rFont val="ＭＳ Ｐ明朝"/>
        <family val="1"/>
        <charset val="128"/>
      </rPr>
      <t>100</t>
    </r>
    <r>
      <rPr>
        <sz val="9"/>
        <rFont val="ＭＳ Ｐ明朝"/>
        <family val="1"/>
        <charset val="128"/>
      </rPr>
      <t>mm/h） * 法面（土）の面積</t>
    </r>
    <rPh sb="16" eb="18">
      <t>リュウシュツ</t>
    </rPh>
    <rPh sb="18" eb="20">
      <t>ケイスウ</t>
    </rPh>
    <rPh sb="24" eb="26">
      <t>コウウ</t>
    </rPh>
    <rPh sb="26" eb="28">
      <t>キョウド</t>
    </rPh>
    <rPh sb="41" eb="42">
      <t>ホウ</t>
    </rPh>
    <rPh sb="42" eb="43">
      <t>メン</t>
    </rPh>
    <rPh sb="44" eb="45">
      <t>ツチ</t>
    </rPh>
    <rPh sb="47" eb="49">
      <t>メンセキ</t>
    </rPh>
    <phoneticPr fontId="2"/>
  </si>
  <si>
    <r>
      <t>1 / 3,600,000 * 流出係数C * 降雨強度I（</t>
    </r>
    <r>
      <rPr>
        <sz val="9"/>
        <color indexed="36"/>
        <rFont val="ＭＳ Ｐ明朝"/>
        <family val="1"/>
        <charset val="128"/>
      </rPr>
      <t>100</t>
    </r>
    <r>
      <rPr>
        <sz val="9"/>
        <rFont val="ＭＳ Ｐ明朝"/>
        <family val="1"/>
        <charset val="128"/>
      </rPr>
      <t>mm/h） * 地域的集水区域面積</t>
    </r>
    <rPh sb="16" eb="18">
      <t>リュウシュツ</t>
    </rPh>
    <rPh sb="18" eb="20">
      <t>ケイスウ</t>
    </rPh>
    <rPh sb="24" eb="26">
      <t>コウウ</t>
    </rPh>
    <rPh sb="26" eb="28">
      <t>キョウド</t>
    </rPh>
    <rPh sb="41" eb="44">
      <t>チイキテキ</t>
    </rPh>
    <rPh sb="44" eb="46">
      <t>シュウスイ</t>
    </rPh>
    <rPh sb="46" eb="48">
      <t>クイキ</t>
    </rPh>
    <rPh sb="48" eb="50">
      <t>メンセキ</t>
    </rPh>
    <phoneticPr fontId="2"/>
  </si>
  <si>
    <t>http://www.sougo-chisui.jp/</t>
    <phoneticPr fontId="2"/>
  </si>
  <si>
    <t>http://www.sougo-chisui.jp/shinkawa/what-s_new.html</t>
    <phoneticPr fontId="2"/>
  </si>
  <si>
    <t>H22.07.21修正</t>
    <rPh sb="9" eb="11">
      <t>シュウセイ</t>
    </rPh>
    <phoneticPr fontId="2"/>
  </si>
  <si>
    <t>H26.02.01一部修正</t>
    <rPh sb="9" eb="11">
      <t>イチブ</t>
    </rPh>
    <rPh sb="11" eb="13">
      <t>シュウセイ</t>
    </rPh>
    <phoneticPr fontId="2"/>
  </si>
  <si>
    <t>修正履歴</t>
    <rPh sb="0" eb="2">
      <t>シュウセイ</t>
    </rPh>
    <rPh sb="2" eb="4">
      <t>リレキ</t>
    </rPh>
    <phoneticPr fontId="2"/>
  </si>
  <si>
    <t>令和２５年４月　愛知県建設部河川課編を参照のこと。</t>
    <rPh sb="4" eb="5">
      <t>ネン</t>
    </rPh>
    <rPh sb="6" eb="7">
      <t>ガツ</t>
    </rPh>
    <rPh sb="8" eb="11">
      <t>アイチケン</t>
    </rPh>
    <rPh sb="11" eb="13">
      <t>ケンセツ</t>
    </rPh>
    <rPh sb="13" eb="14">
      <t>ブ</t>
    </rPh>
    <rPh sb="14" eb="16">
      <t>カセン</t>
    </rPh>
    <rPh sb="16" eb="17">
      <t>カ</t>
    </rPh>
    <rPh sb="17" eb="18">
      <t>ヘン</t>
    </rPh>
    <rPh sb="19" eb="21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</si>
</sst>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.0_ "/>
    <numFmt numFmtId="178" formatCode="0.00;_䀀"/>
    <numFmt numFmtId="179" formatCode="#,##0.0;[Red]\-#,##0.0"/>
    <numFmt numFmtId="180" formatCode="#,##0.000;[Red]\-#,##0.000"/>
    <numFmt numFmtId="181" formatCode="#,##0.0000;[Red]\-#,##0.0000"/>
    <numFmt numFmtId="182" formatCode="#,##0.00000;[Red]\-#,##0.00000"/>
    <numFmt numFmtId="183" formatCode="&quot;※ &quot;0.00"/>
    <numFmt numFmtId="184" formatCode="&quot;※※ &quot;0.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color indexed="36"/>
      <name val="ＭＳ Ｐゴシック"/>
      <family val="3"/>
      <charset val="128"/>
    </font>
    <font>
      <sz val="9"/>
      <color indexed="3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0" fontId="4" fillId="4" borderId="16" xfId="1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40" fontId="4" fillId="4" borderId="18" xfId="1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38" fontId="4" fillId="4" borderId="26" xfId="1" applyFont="1" applyFill="1" applyBorder="1" applyAlignment="1">
      <alignment horizontal="center" vertical="center"/>
    </xf>
    <xf numFmtId="38" fontId="4" fillId="4" borderId="27" xfId="1" applyFont="1" applyFill="1" applyBorder="1" applyAlignment="1">
      <alignment horizontal="center" vertical="center"/>
    </xf>
    <xf numFmtId="38" fontId="4" fillId="4" borderId="28" xfId="1" applyFont="1" applyFill="1" applyBorder="1" applyAlignment="1">
      <alignment horizontal="center" vertical="center"/>
    </xf>
    <xf numFmtId="38" fontId="4" fillId="4" borderId="29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4" borderId="31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32" xfId="0" applyNumberFormat="1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79" fontId="4" fillId="3" borderId="1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9" fontId="4" fillId="3" borderId="38" xfId="1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40" fontId="4" fillId="4" borderId="39" xfId="1" applyNumberFormat="1" applyFont="1" applyFill="1" applyBorder="1" applyAlignment="1">
      <alignment vertical="center"/>
    </xf>
    <xf numFmtId="0" fontId="13" fillId="5" borderId="36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40" fontId="4" fillId="0" borderId="44" xfId="1" applyNumberFormat="1" applyFont="1" applyFill="1" applyBorder="1" applyAlignment="1">
      <alignment horizontal="center" vertical="center"/>
    </xf>
    <xf numFmtId="40" fontId="4" fillId="3" borderId="45" xfId="1" applyNumberFormat="1" applyFont="1" applyFill="1" applyBorder="1" applyAlignment="1">
      <alignment vertical="center"/>
    </xf>
    <xf numFmtId="40" fontId="4" fillId="3" borderId="46" xfId="1" applyNumberFormat="1" applyFont="1" applyFill="1" applyBorder="1" applyAlignment="1">
      <alignment vertical="center"/>
    </xf>
    <xf numFmtId="40" fontId="4" fillId="3" borderId="47" xfId="1" applyNumberFormat="1" applyFont="1" applyFill="1" applyBorder="1" applyAlignment="1">
      <alignment vertical="center"/>
    </xf>
    <xf numFmtId="40" fontId="4" fillId="3" borderId="48" xfId="1" applyNumberFormat="1" applyFont="1" applyFill="1" applyBorder="1" applyAlignment="1">
      <alignment vertical="center"/>
    </xf>
    <xf numFmtId="40" fontId="4" fillId="3" borderId="49" xfId="1" applyNumberFormat="1" applyFont="1" applyFill="1" applyBorder="1" applyAlignment="1">
      <alignment vertical="center"/>
    </xf>
    <xf numFmtId="40" fontId="4" fillId="3" borderId="50" xfId="1" applyNumberFormat="1" applyFont="1" applyFill="1" applyBorder="1" applyAlignment="1">
      <alignment vertical="center"/>
    </xf>
    <xf numFmtId="40" fontId="4" fillId="4" borderId="32" xfId="1" applyNumberFormat="1" applyFont="1" applyFill="1" applyBorder="1" applyAlignment="1">
      <alignment vertical="center"/>
    </xf>
    <xf numFmtId="40" fontId="4" fillId="4" borderId="33" xfId="1" applyNumberFormat="1" applyFont="1" applyFill="1" applyBorder="1" applyAlignment="1">
      <alignment vertical="center"/>
    </xf>
    <xf numFmtId="40" fontId="4" fillId="4" borderId="51" xfId="1" applyNumberFormat="1" applyFont="1" applyFill="1" applyBorder="1" applyAlignment="1">
      <alignment vertical="center"/>
    </xf>
    <xf numFmtId="40" fontId="4" fillId="3" borderId="24" xfId="1" applyNumberFormat="1" applyFont="1" applyFill="1" applyBorder="1" applyAlignment="1">
      <alignment vertical="center"/>
    </xf>
    <xf numFmtId="40" fontId="4" fillId="3" borderId="25" xfId="1" applyNumberFormat="1" applyFont="1" applyFill="1" applyBorder="1" applyAlignment="1">
      <alignment vertical="center"/>
    </xf>
    <xf numFmtId="40" fontId="4" fillId="4" borderId="52" xfId="1" applyNumberFormat="1" applyFont="1" applyFill="1" applyBorder="1" applyAlignment="1">
      <alignment vertical="center"/>
    </xf>
    <xf numFmtId="40" fontId="4" fillId="4" borderId="53" xfId="1" applyNumberFormat="1" applyFont="1" applyFill="1" applyBorder="1" applyAlignment="1">
      <alignment vertical="center"/>
    </xf>
    <xf numFmtId="40" fontId="4" fillId="4" borderId="54" xfId="1" applyNumberFormat="1" applyFont="1" applyFill="1" applyBorder="1" applyAlignment="1">
      <alignment vertical="center"/>
    </xf>
    <xf numFmtId="40" fontId="4" fillId="4" borderId="55" xfId="1" applyNumberFormat="1" applyFont="1" applyFill="1" applyBorder="1" applyAlignment="1">
      <alignment vertical="center"/>
    </xf>
    <xf numFmtId="177" fontId="4" fillId="0" borderId="31" xfId="0" applyNumberFormat="1" applyFont="1" applyFill="1" applyBorder="1" applyAlignment="1">
      <alignment vertical="center" shrinkToFit="1"/>
    </xf>
    <xf numFmtId="0" fontId="4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57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5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38" fontId="4" fillId="3" borderId="10" xfId="1" applyFont="1" applyFill="1" applyBorder="1" applyAlignment="1">
      <alignment vertical="center"/>
    </xf>
    <xf numFmtId="40" fontId="4" fillId="5" borderId="10" xfId="1" applyNumberFormat="1" applyFont="1" applyFill="1" applyBorder="1" applyAlignment="1">
      <alignment vertical="center"/>
    </xf>
    <xf numFmtId="40" fontId="4" fillId="2" borderId="10" xfId="1" applyNumberFormat="1" applyFont="1" applyFill="1" applyBorder="1" applyAlignment="1">
      <alignment vertical="center"/>
    </xf>
    <xf numFmtId="40" fontId="4" fillId="0" borderId="59" xfId="1" applyNumberFormat="1" applyFont="1" applyFill="1" applyBorder="1" applyAlignment="1">
      <alignment vertical="center"/>
    </xf>
    <xf numFmtId="40" fontId="4" fillId="0" borderId="19" xfId="1" applyNumberFormat="1" applyFont="1" applyFill="1" applyBorder="1" applyAlignment="1">
      <alignment vertical="center"/>
    </xf>
    <xf numFmtId="40" fontId="4" fillId="0" borderId="22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60" xfId="0" applyFont="1" applyBorder="1" applyAlignment="1">
      <alignment horizontal="center" vertical="center"/>
    </xf>
    <xf numFmtId="40" fontId="4" fillId="0" borderId="30" xfId="1" applyNumberFormat="1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shrinkToFit="1"/>
    </xf>
    <xf numFmtId="0" fontId="6" fillId="0" borderId="65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40" fontId="4" fillId="0" borderId="0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6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40" fontId="4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3" fontId="4" fillId="4" borderId="67" xfId="1" applyNumberFormat="1" applyFont="1" applyFill="1" applyBorder="1" applyAlignment="1">
      <alignment vertical="center"/>
    </xf>
    <xf numFmtId="183" fontId="4" fillId="4" borderId="68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183" fontId="4" fillId="4" borderId="6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40" fontId="4" fillId="3" borderId="71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/>
    </xf>
    <xf numFmtId="0" fontId="6" fillId="4" borderId="2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80" fontId="4" fillId="4" borderId="19" xfId="1" applyNumberFormat="1" applyFont="1" applyFill="1" applyBorder="1" applyAlignment="1">
      <alignment vertical="center"/>
    </xf>
    <xf numFmtId="40" fontId="4" fillId="4" borderId="19" xfId="1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181" fontId="4" fillId="4" borderId="40" xfId="1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4" fillId="4" borderId="43" xfId="0" applyFont="1" applyFill="1" applyBorder="1" applyAlignment="1">
      <alignment horizontal="center" vertical="center" shrinkToFit="1"/>
    </xf>
    <xf numFmtId="0" fontId="16" fillId="0" borderId="72" xfId="0" applyFont="1" applyBorder="1" applyAlignment="1">
      <alignment vertical="center"/>
    </xf>
    <xf numFmtId="0" fontId="16" fillId="0" borderId="7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6" fillId="0" borderId="0" xfId="0" applyFont="1" applyFill="1" applyAlignment="1">
      <alignment horizontal="left" vertical="center"/>
    </xf>
    <xf numFmtId="0" fontId="16" fillId="0" borderId="0" xfId="0" quotePrefix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vertical="center" shrinkToFit="1"/>
    </xf>
    <xf numFmtId="0" fontId="16" fillId="0" borderId="0" xfId="0" applyFont="1" applyFill="1" applyAlignment="1">
      <alignment horizontal="right" vertical="center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7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 shrinkToFit="1"/>
    </xf>
    <xf numFmtId="0" fontId="16" fillId="0" borderId="75" xfId="0" applyFont="1" applyBorder="1" applyAlignment="1">
      <alignment vertical="center"/>
    </xf>
    <xf numFmtId="0" fontId="16" fillId="0" borderId="76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77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33" xfId="0" applyFont="1" applyBorder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16" fillId="0" borderId="34" xfId="0" applyFont="1" applyBorder="1" applyAlignment="1">
      <alignment vertical="center" shrinkToFit="1"/>
    </xf>
    <xf numFmtId="0" fontId="16" fillId="0" borderId="29" xfId="0" applyFont="1" applyBorder="1" applyAlignment="1">
      <alignment vertical="center" shrinkToFit="1"/>
    </xf>
    <xf numFmtId="0" fontId="16" fillId="0" borderId="78" xfId="0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40" fontId="16" fillId="0" borderId="0" xfId="1" applyNumberFormat="1" applyFont="1" applyFill="1" applyBorder="1" applyAlignment="1">
      <alignment vertical="center"/>
    </xf>
    <xf numFmtId="179" fontId="16" fillId="0" borderId="0" xfId="1" applyNumberFormat="1" applyFont="1" applyFill="1" applyBorder="1" applyAlignment="1">
      <alignment vertical="center"/>
    </xf>
    <xf numFmtId="180" fontId="16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6" fillId="0" borderId="79" xfId="0" applyFont="1" applyBorder="1" applyAlignment="1">
      <alignment vertical="center"/>
    </xf>
    <xf numFmtId="0" fontId="16" fillId="0" borderId="80" xfId="0" applyFont="1" applyBorder="1" applyAlignment="1">
      <alignment vertical="center"/>
    </xf>
    <xf numFmtId="0" fontId="16" fillId="0" borderId="80" xfId="0" applyFont="1" applyBorder="1" applyAlignment="1">
      <alignment horizontal="left" vertical="center"/>
    </xf>
    <xf numFmtId="0" fontId="16" fillId="0" borderId="81" xfId="0" applyFont="1" applyBorder="1" applyAlignment="1">
      <alignment horizontal="left" vertical="center"/>
    </xf>
    <xf numFmtId="0" fontId="21" fillId="0" borderId="82" xfId="0" applyFont="1" applyBorder="1" applyAlignment="1">
      <alignment vertical="center"/>
    </xf>
    <xf numFmtId="0" fontId="24" fillId="0" borderId="82" xfId="0" applyFont="1" applyBorder="1" applyAlignment="1">
      <alignment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84" xfId="0" applyFont="1" applyBorder="1" applyAlignment="1">
      <alignment vertical="center" shrinkToFit="1"/>
    </xf>
    <xf numFmtId="0" fontId="16" fillId="0" borderId="84" xfId="0" applyFont="1" applyBorder="1" applyAlignment="1">
      <alignment horizontal="left" vertical="center"/>
    </xf>
    <xf numFmtId="0" fontId="16" fillId="0" borderId="84" xfId="0" applyFont="1" applyBorder="1" applyAlignment="1">
      <alignment vertical="center"/>
    </xf>
    <xf numFmtId="0" fontId="16" fillId="0" borderId="85" xfId="0" applyFont="1" applyBorder="1" applyAlignment="1">
      <alignment vertical="center"/>
    </xf>
    <xf numFmtId="0" fontId="16" fillId="0" borderId="85" xfId="0" applyFont="1" applyFill="1" applyBorder="1" applyAlignment="1">
      <alignment horizontal="left" vertical="center" shrinkToFit="1"/>
    </xf>
    <xf numFmtId="0" fontId="18" fillId="0" borderId="0" xfId="0" applyFont="1" applyBorder="1" applyAlignment="1">
      <alignment vertical="center"/>
    </xf>
    <xf numFmtId="0" fontId="4" fillId="0" borderId="6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69" xfId="0" applyFont="1" applyBorder="1" applyAlignment="1">
      <alignment horizontal="left" vertical="center"/>
    </xf>
    <xf numFmtId="0" fontId="4" fillId="0" borderId="79" xfId="0" applyFont="1" applyBorder="1" applyAlignment="1">
      <alignment vertical="center"/>
    </xf>
    <xf numFmtId="0" fontId="15" fillId="0" borderId="80" xfId="0" applyFont="1" applyBorder="1" applyAlignment="1">
      <alignment vertical="center"/>
    </xf>
    <xf numFmtId="0" fontId="15" fillId="0" borderId="81" xfId="0" applyFont="1" applyBorder="1" applyAlignment="1">
      <alignment vertical="center"/>
    </xf>
    <xf numFmtId="0" fontId="18" fillId="0" borderId="82" xfId="0" applyFont="1" applyBorder="1" applyAlignment="1">
      <alignment vertical="center"/>
    </xf>
    <xf numFmtId="0" fontId="4" fillId="0" borderId="82" xfId="0" applyFont="1" applyBorder="1" applyAlignment="1">
      <alignment horizontal="left" vertical="center"/>
    </xf>
    <xf numFmtId="0" fontId="4" fillId="0" borderId="82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16" fillId="0" borderId="86" xfId="0" applyFont="1" applyBorder="1" applyAlignment="1">
      <alignment vertical="center"/>
    </xf>
    <xf numFmtId="0" fontId="16" fillId="5" borderId="87" xfId="0" applyFont="1" applyFill="1" applyBorder="1" applyAlignment="1">
      <alignment vertical="center"/>
    </xf>
    <xf numFmtId="0" fontId="16" fillId="5" borderId="88" xfId="0" applyFont="1" applyFill="1" applyBorder="1" applyAlignment="1">
      <alignment vertical="center"/>
    </xf>
    <xf numFmtId="0" fontId="16" fillId="5" borderId="89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 textRotation="90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86" xfId="0" applyFont="1" applyBorder="1" applyAlignment="1">
      <alignment vertical="center" shrinkToFit="1"/>
    </xf>
    <xf numFmtId="0" fontId="22" fillId="0" borderId="0" xfId="0" applyFont="1" applyBorder="1" applyAlignment="1">
      <alignment vertical="center"/>
    </xf>
    <xf numFmtId="0" fontId="16" fillId="2" borderId="87" xfId="0" applyFont="1" applyFill="1" applyBorder="1" applyAlignment="1">
      <alignment vertical="center"/>
    </xf>
    <xf numFmtId="0" fontId="16" fillId="2" borderId="88" xfId="0" applyFont="1" applyFill="1" applyBorder="1" applyAlignment="1">
      <alignment vertical="center"/>
    </xf>
    <xf numFmtId="0" fontId="16" fillId="2" borderId="89" xfId="0" applyFont="1" applyFill="1" applyBorder="1" applyAlignment="1">
      <alignment vertical="center"/>
    </xf>
    <xf numFmtId="0" fontId="26" fillId="0" borderId="60" xfId="0" applyFont="1" applyBorder="1" applyAlignment="1">
      <alignment horizontal="left" vertical="center" shrinkToFit="1"/>
    </xf>
    <xf numFmtId="184" fontId="4" fillId="4" borderId="68" xfId="1" applyNumberFormat="1" applyFont="1" applyFill="1" applyBorder="1" applyAlignment="1">
      <alignment vertical="center"/>
    </xf>
    <xf numFmtId="0" fontId="13" fillId="3" borderId="90" xfId="0" applyFont="1" applyFill="1" applyBorder="1" applyAlignment="1">
      <alignment horizontal="center" vertical="center"/>
    </xf>
    <xf numFmtId="0" fontId="4" fillId="0" borderId="91" xfId="0" applyFont="1" applyBorder="1" applyAlignment="1">
      <alignment vertical="center" shrinkToFit="1"/>
    </xf>
    <xf numFmtId="0" fontId="4" fillId="4" borderId="92" xfId="0" applyFont="1" applyFill="1" applyBorder="1" applyAlignment="1">
      <alignment horizontal="center" vertical="center" shrinkToFit="1"/>
    </xf>
    <xf numFmtId="38" fontId="4" fillId="4" borderId="40" xfId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182" fontId="12" fillId="4" borderId="60" xfId="1" applyNumberFormat="1" applyFont="1" applyFill="1" applyBorder="1" applyAlignment="1">
      <alignment vertical="center" shrinkToFit="1"/>
    </xf>
    <xf numFmtId="40" fontId="4" fillId="4" borderId="20" xfId="1" applyNumberFormat="1" applyFont="1" applyFill="1" applyBorder="1" applyAlignment="1">
      <alignment vertical="center"/>
    </xf>
    <xf numFmtId="182" fontId="4" fillId="4" borderId="19" xfId="1" applyNumberFormat="1" applyFont="1" applyFill="1" applyBorder="1" applyAlignment="1">
      <alignment vertical="center"/>
    </xf>
    <xf numFmtId="180" fontId="4" fillId="4" borderId="31" xfId="1" applyNumberFormat="1" applyFont="1" applyFill="1" applyBorder="1" applyAlignment="1">
      <alignment horizontal="right" vertical="center"/>
    </xf>
    <xf numFmtId="182" fontId="4" fillId="4" borderId="31" xfId="1" applyNumberFormat="1" applyFont="1" applyFill="1" applyBorder="1" applyAlignment="1">
      <alignment horizontal="right" vertical="center"/>
    </xf>
    <xf numFmtId="40" fontId="4" fillId="3" borderId="10" xfId="1" applyNumberFormat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86" xfId="0" applyFont="1" applyFill="1" applyBorder="1" applyAlignment="1">
      <alignment horizontal="left" vertical="center"/>
    </xf>
    <xf numFmtId="0" fontId="16" fillId="4" borderId="86" xfId="0" applyFont="1" applyFill="1" applyBorder="1" applyAlignment="1">
      <alignment horizontal="right" vertical="center" shrinkToFit="1"/>
    </xf>
    <xf numFmtId="0" fontId="16" fillId="0" borderId="94" xfId="0" applyFont="1" applyBorder="1" applyAlignment="1">
      <alignment vertical="center"/>
    </xf>
    <xf numFmtId="0" fontId="16" fillId="0" borderId="95" xfId="0" applyFont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quotePrefix="1" applyFont="1" applyFill="1" applyBorder="1" applyAlignment="1">
      <alignment vertical="center"/>
    </xf>
    <xf numFmtId="0" fontId="16" fillId="0" borderId="96" xfId="0" applyFont="1" applyBorder="1" applyAlignment="1">
      <alignment vertical="center"/>
    </xf>
    <xf numFmtId="0" fontId="16" fillId="0" borderId="97" xfId="0" applyFont="1" applyBorder="1" applyAlignment="1">
      <alignment vertical="center"/>
    </xf>
    <xf numFmtId="0" fontId="16" fillId="0" borderId="98" xfId="0" applyFont="1" applyBorder="1" applyAlignment="1">
      <alignment vertical="center"/>
    </xf>
    <xf numFmtId="0" fontId="16" fillId="0" borderId="99" xfId="0" applyFont="1" applyBorder="1" applyAlignment="1">
      <alignment vertical="center"/>
    </xf>
    <xf numFmtId="0" fontId="16" fillId="0" borderId="100" xfId="0" applyFont="1" applyBorder="1" applyAlignment="1">
      <alignment vertical="center"/>
    </xf>
    <xf numFmtId="0" fontId="16" fillId="0" borderId="101" xfId="0" applyFont="1" applyBorder="1" applyAlignment="1">
      <alignment vertical="center"/>
    </xf>
    <xf numFmtId="0" fontId="16" fillId="0" borderId="94" xfId="0" applyFont="1" applyBorder="1" applyAlignment="1">
      <alignment horizontal="left" vertical="center"/>
    </xf>
    <xf numFmtId="0" fontId="16" fillId="0" borderId="85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center" vertical="center"/>
    </xf>
    <xf numFmtId="57" fontId="4" fillId="0" borderId="0" xfId="0" applyNumberFormat="1" applyFont="1" applyAlignment="1">
      <alignment vertical="center"/>
    </xf>
    <xf numFmtId="0" fontId="4" fillId="0" borderId="63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38" fontId="4" fillId="0" borderId="102" xfId="1" applyFont="1" applyFill="1" applyBorder="1" applyAlignment="1">
      <alignment horizontal="center" vertical="center"/>
    </xf>
    <xf numFmtId="38" fontId="4" fillId="0" borderId="103" xfId="1" applyFont="1" applyFill="1" applyBorder="1" applyAlignment="1">
      <alignment horizontal="center" vertical="center"/>
    </xf>
    <xf numFmtId="40" fontId="4" fillId="0" borderId="102" xfId="1" applyNumberFormat="1" applyFont="1" applyBorder="1" applyAlignment="1">
      <alignment horizontal="center" vertical="center"/>
    </xf>
    <xf numFmtId="40" fontId="4" fillId="0" borderId="104" xfId="1" applyNumberFormat="1" applyFont="1" applyBorder="1" applyAlignment="1">
      <alignment horizontal="center" vertical="center"/>
    </xf>
    <xf numFmtId="176" fontId="4" fillId="0" borderId="105" xfId="0" applyNumberFormat="1" applyFont="1" applyFill="1" applyBorder="1" applyAlignment="1">
      <alignment horizontal="center" vertical="center"/>
    </xf>
    <xf numFmtId="176" fontId="4" fillId="0" borderId="10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106" xfId="0" applyFont="1" applyBorder="1" applyAlignment="1">
      <alignment horizontal="left" vertical="center" indent="1"/>
    </xf>
    <xf numFmtId="0" fontId="4" fillId="0" borderId="107" xfId="0" applyFont="1" applyBorder="1" applyAlignment="1">
      <alignment horizontal="left" vertical="center" indent="1"/>
    </xf>
    <xf numFmtId="0" fontId="4" fillId="0" borderId="10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vertical="center" wrapText="1"/>
    </xf>
    <xf numFmtId="40" fontId="4" fillId="3" borderId="71" xfId="1" applyNumberFormat="1" applyFont="1" applyFill="1" applyBorder="1" applyAlignment="1">
      <alignment horizontal="right" vertical="center"/>
    </xf>
    <xf numFmtId="40" fontId="4" fillId="3" borderId="38" xfId="1" applyNumberFormat="1" applyFont="1" applyFill="1" applyBorder="1" applyAlignment="1">
      <alignment horizontal="right" vertical="center"/>
    </xf>
    <xf numFmtId="0" fontId="4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left" vertical="center" wrapText="1"/>
    </xf>
    <xf numFmtId="0" fontId="13" fillId="3" borderId="109" xfId="0" applyFont="1" applyFill="1" applyBorder="1" applyAlignment="1">
      <alignment horizontal="center" vertical="center"/>
    </xf>
    <xf numFmtId="0" fontId="13" fillId="3" borderId="119" xfId="0" applyFont="1" applyFill="1" applyBorder="1" applyAlignment="1">
      <alignment horizontal="center" vertical="center"/>
    </xf>
    <xf numFmtId="0" fontId="4" fillId="0" borderId="111" xfId="0" applyFont="1" applyBorder="1" applyAlignment="1">
      <alignment horizontal="left" vertical="center" shrinkToFit="1"/>
    </xf>
    <xf numFmtId="0" fontId="4" fillId="0" borderId="120" xfId="0" applyFont="1" applyBorder="1" applyAlignment="1">
      <alignment horizontal="left" vertical="center" shrinkToFit="1"/>
    </xf>
    <xf numFmtId="0" fontId="13" fillId="3" borderId="110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left" vertical="center" shrinkToFit="1"/>
    </xf>
    <xf numFmtId="180" fontId="4" fillId="3" borderId="71" xfId="1" applyNumberFormat="1" applyFont="1" applyFill="1" applyBorder="1" applyAlignment="1">
      <alignment horizontal="right" vertical="center"/>
    </xf>
    <xf numFmtId="180" fontId="4" fillId="3" borderId="38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1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  <xf numFmtId="40" fontId="4" fillId="2" borderId="23" xfId="1" applyNumberFormat="1" applyFont="1" applyFill="1" applyBorder="1" applyAlignment="1">
      <alignment horizontal="right" vertical="center"/>
    </xf>
    <xf numFmtId="40" fontId="4" fillId="2" borderId="25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7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103" xfId="0" applyFont="1" applyFill="1" applyBorder="1" applyAlignment="1">
      <alignment horizontal="center" vertical="center"/>
    </xf>
    <xf numFmtId="0" fontId="6" fillId="0" borderId="75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7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05" xfId="0" applyFont="1" applyBorder="1" applyAlignment="1">
      <alignment horizontal="center" vertical="center"/>
    </xf>
    <xf numFmtId="0" fontId="4" fillId="0" borderId="119" xfId="0" applyFont="1" applyBorder="1" applyAlignment="1">
      <alignment horizontal="left" vertical="center" wrapText="1" indent="1"/>
    </xf>
    <xf numFmtId="0" fontId="4" fillId="0" borderId="59" xfId="0" applyFont="1" applyBorder="1" applyAlignment="1">
      <alignment horizontal="left" vertical="center" indent="1"/>
    </xf>
    <xf numFmtId="0" fontId="4" fillId="0" borderId="3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6" xfId="0" applyFont="1" applyBorder="1" applyAlignment="1">
      <alignment horizontal="left" vertical="center" indent="1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 indent="1"/>
    </xf>
    <xf numFmtId="179" fontId="16" fillId="4" borderId="0" xfId="1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6" fillId="0" borderId="122" xfId="0" applyFont="1" applyFill="1" applyBorder="1" applyAlignment="1">
      <alignment horizontal="center" vertical="center" shrinkToFit="1"/>
    </xf>
    <xf numFmtId="0" fontId="16" fillId="0" borderId="123" xfId="0" applyFont="1" applyFill="1" applyBorder="1" applyAlignment="1">
      <alignment horizontal="center" vertical="center" shrinkToFit="1"/>
    </xf>
    <xf numFmtId="0" fontId="16" fillId="0" borderId="124" xfId="0" applyFont="1" applyFill="1" applyBorder="1" applyAlignment="1">
      <alignment horizontal="center" vertical="center" shrinkToFit="1"/>
    </xf>
    <xf numFmtId="40" fontId="16" fillId="4" borderId="0" xfId="0" applyNumberFormat="1" applyFont="1" applyFill="1" applyBorder="1" applyAlignment="1">
      <alignment horizontal="right" vertical="center"/>
    </xf>
    <xf numFmtId="38" fontId="16" fillId="4" borderId="0" xfId="0" applyNumberFormat="1" applyFont="1" applyFill="1" applyBorder="1" applyAlignment="1">
      <alignment horizontal="right" vertical="center"/>
    </xf>
    <xf numFmtId="179" fontId="16" fillId="4" borderId="0" xfId="1" applyNumberFormat="1" applyFont="1" applyFill="1" applyAlignment="1">
      <alignment horizontal="right" vertical="center"/>
    </xf>
    <xf numFmtId="182" fontId="16" fillId="4" borderId="0" xfId="1" applyNumberFormat="1" applyFont="1" applyFill="1" applyAlignment="1">
      <alignment horizontal="right" vertical="center"/>
    </xf>
    <xf numFmtId="0" fontId="4" fillId="0" borderId="12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5" borderId="126" xfId="0" applyFont="1" applyFill="1" applyBorder="1" applyAlignment="1">
      <alignment horizontal="center" vertical="center"/>
    </xf>
    <xf numFmtId="0" fontId="8" fillId="5" borderId="127" xfId="0" applyFont="1" applyFill="1" applyBorder="1" applyAlignment="1">
      <alignment horizontal="center" vertical="center"/>
    </xf>
    <xf numFmtId="0" fontId="4" fillId="0" borderId="12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28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40" fontId="16" fillId="4" borderId="0" xfId="1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shrinkToFit="1"/>
    </xf>
    <xf numFmtId="0" fontId="15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Border="1" applyAlignment="1">
      <alignment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 shrinkToFit="1"/>
    </xf>
    <xf numFmtId="0" fontId="6" fillId="6" borderId="103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80" fontId="16" fillId="4" borderId="0" xfId="0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vertical="center"/>
    </xf>
    <xf numFmtId="0" fontId="16" fillId="0" borderId="103" xfId="0" applyFont="1" applyBorder="1" applyAlignment="1">
      <alignment vertical="center"/>
    </xf>
    <xf numFmtId="180" fontId="16" fillId="4" borderId="0" xfId="1" applyNumberFormat="1" applyFont="1" applyFill="1" applyBorder="1" applyAlignment="1">
      <alignment vertical="center"/>
    </xf>
    <xf numFmtId="40" fontId="16" fillId="4" borderId="0" xfId="0" applyNumberFormat="1" applyFont="1" applyFill="1" applyBorder="1" applyAlignment="1">
      <alignment vertical="center"/>
    </xf>
    <xf numFmtId="181" fontId="16" fillId="4" borderId="0" xfId="1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129" xfId="0" applyFont="1" applyFill="1" applyBorder="1" applyAlignment="1">
      <alignment horizontal="center" vertical="center" shrinkToFit="1"/>
    </xf>
    <xf numFmtId="0" fontId="16" fillId="0" borderId="84" xfId="0" applyFont="1" applyBorder="1" applyAlignment="1">
      <alignment horizontal="left" vertical="center" shrinkToFit="1"/>
    </xf>
    <xf numFmtId="0" fontId="16" fillId="0" borderId="98" xfId="0" applyFont="1" applyBorder="1" applyAlignment="1">
      <alignment horizontal="left" vertical="center" shrinkToFit="1"/>
    </xf>
    <xf numFmtId="0" fontId="16" fillId="5" borderId="126" xfId="0" applyFont="1" applyFill="1" applyBorder="1" applyAlignment="1">
      <alignment vertical="center"/>
    </xf>
    <xf numFmtId="0" fontId="16" fillId="5" borderId="127" xfId="0" applyFont="1" applyFill="1" applyBorder="1" applyAlignment="1">
      <alignment vertical="center"/>
    </xf>
    <xf numFmtId="180" fontId="16" fillId="4" borderId="0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0" fontId="16" fillId="4" borderId="0" xfId="1" applyNumberFormat="1" applyFont="1" applyFill="1" applyAlignment="1">
      <alignment vertical="center"/>
    </xf>
    <xf numFmtId="0" fontId="16" fillId="0" borderId="86" xfId="0" applyFont="1" applyBorder="1" applyAlignment="1">
      <alignment horizontal="left" vertical="center" shrinkToFit="1"/>
    </xf>
    <xf numFmtId="0" fontId="16" fillId="0" borderId="86" xfId="0" applyFont="1" applyBorder="1" applyAlignment="1">
      <alignment vertical="center" shrinkToFit="1"/>
    </xf>
    <xf numFmtId="180" fontId="16" fillId="4" borderId="13" xfId="1" applyNumberFormat="1" applyFont="1" applyFill="1" applyBorder="1" applyAlignment="1">
      <alignment vertical="center"/>
    </xf>
    <xf numFmtId="180" fontId="16" fillId="4" borderId="33" xfId="1" applyNumberFormat="1" applyFont="1" applyFill="1" applyBorder="1" applyAlignment="1">
      <alignment vertical="center"/>
    </xf>
    <xf numFmtId="179" fontId="16" fillId="4" borderId="0" xfId="0" applyNumberFormat="1" applyFont="1" applyFill="1" applyBorder="1" applyAlignment="1">
      <alignment vertical="center"/>
    </xf>
    <xf numFmtId="180" fontId="16" fillId="5" borderId="130" xfId="1" applyNumberFormat="1" applyFont="1" applyFill="1" applyBorder="1" applyAlignment="1">
      <alignment vertical="center"/>
    </xf>
    <xf numFmtId="180" fontId="16" fillId="5" borderId="89" xfId="1" applyNumberFormat="1" applyFont="1" applyFill="1" applyBorder="1" applyAlignment="1">
      <alignment vertical="center"/>
    </xf>
    <xf numFmtId="180" fontId="16" fillId="4" borderId="12" xfId="1" applyNumberFormat="1" applyFont="1" applyFill="1" applyBorder="1" applyAlignment="1">
      <alignment vertical="center"/>
    </xf>
    <xf numFmtId="180" fontId="16" fillId="4" borderId="32" xfId="1" applyNumberFormat="1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180" fontId="16" fillId="5" borderId="131" xfId="1" applyNumberFormat="1" applyFont="1" applyFill="1" applyBorder="1" applyAlignment="1">
      <alignment vertical="center"/>
    </xf>
    <xf numFmtId="180" fontId="16" fillId="5" borderId="87" xfId="1" applyNumberFormat="1" applyFont="1" applyFill="1" applyBorder="1" applyAlignment="1">
      <alignment vertical="center"/>
    </xf>
    <xf numFmtId="180" fontId="16" fillId="5" borderId="132" xfId="1" applyNumberFormat="1" applyFont="1" applyFill="1" applyBorder="1" applyAlignment="1">
      <alignment vertical="center"/>
    </xf>
    <xf numFmtId="180" fontId="16" fillId="5" borderId="88" xfId="1" applyNumberFormat="1" applyFont="1" applyFill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4" fillId="0" borderId="12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69" xfId="0" applyFont="1" applyBorder="1" applyAlignment="1">
      <alignment vertical="center" shrinkToFit="1"/>
    </xf>
    <xf numFmtId="0" fontId="16" fillId="0" borderId="29" xfId="0" applyFont="1" applyBorder="1" applyAlignment="1">
      <alignment vertical="center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0" fontId="16" fillId="5" borderId="131" xfId="1" applyNumberFormat="1" applyFont="1" applyFill="1" applyBorder="1" applyAlignment="1">
      <alignment vertical="center"/>
    </xf>
    <xf numFmtId="40" fontId="16" fillId="5" borderId="87" xfId="1" applyNumberFormat="1" applyFont="1" applyFill="1" applyBorder="1" applyAlignment="1">
      <alignment vertical="center"/>
    </xf>
    <xf numFmtId="40" fontId="16" fillId="5" borderId="132" xfId="1" applyNumberFormat="1" applyFont="1" applyFill="1" applyBorder="1" applyAlignment="1">
      <alignment vertical="center"/>
    </xf>
    <xf numFmtId="40" fontId="16" fillId="5" borderId="88" xfId="1" applyNumberFormat="1" applyFont="1" applyFill="1" applyBorder="1" applyAlignment="1">
      <alignment vertical="center"/>
    </xf>
    <xf numFmtId="38" fontId="16" fillId="5" borderId="132" xfId="1" applyFont="1" applyFill="1" applyBorder="1" applyAlignment="1">
      <alignment vertical="center"/>
    </xf>
    <xf numFmtId="38" fontId="16" fillId="5" borderId="88" xfId="1" applyFont="1" applyFill="1" applyBorder="1" applyAlignment="1">
      <alignment vertical="center"/>
    </xf>
    <xf numFmtId="179" fontId="16" fillId="5" borderId="131" xfId="1" applyNumberFormat="1" applyFont="1" applyFill="1" applyBorder="1" applyAlignment="1">
      <alignment vertical="center"/>
    </xf>
    <xf numFmtId="179" fontId="16" fillId="5" borderId="87" xfId="1" applyNumberFormat="1" applyFont="1" applyFill="1" applyBorder="1" applyAlignment="1">
      <alignment vertical="center"/>
    </xf>
    <xf numFmtId="179" fontId="16" fillId="5" borderId="132" xfId="1" applyNumberFormat="1" applyFont="1" applyFill="1" applyBorder="1" applyAlignment="1">
      <alignment vertical="center"/>
    </xf>
    <xf numFmtId="179" fontId="16" fillId="5" borderId="88" xfId="1" applyNumberFormat="1" applyFont="1" applyFill="1" applyBorder="1" applyAlignment="1">
      <alignment vertical="center"/>
    </xf>
    <xf numFmtId="0" fontId="16" fillId="0" borderId="7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9" fontId="16" fillId="5" borderId="130" xfId="1" applyNumberFormat="1" applyFont="1" applyFill="1" applyBorder="1" applyAlignment="1">
      <alignment vertical="center"/>
    </xf>
    <xf numFmtId="179" fontId="16" fillId="5" borderId="89" xfId="1" applyNumberFormat="1" applyFont="1" applyFill="1" applyBorder="1" applyAlignment="1">
      <alignment vertical="center"/>
    </xf>
    <xf numFmtId="40" fontId="16" fillId="5" borderId="130" xfId="1" applyNumberFormat="1" applyFont="1" applyFill="1" applyBorder="1" applyAlignment="1">
      <alignment vertical="center"/>
    </xf>
    <xf numFmtId="40" fontId="16" fillId="5" borderId="89" xfId="1" applyNumberFormat="1" applyFont="1" applyFill="1" applyBorder="1" applyAlignment="1">
      <alignment vertical="center"/>
    </xf>
    <xf numFmtId="0" fontId="4" fillId="0" borderId="128" xfId="0" applyFont="1" applyBorder="1" applyAlignment="1">
      <alignment vertical="center" shrinkToFit="1"/>
    </xf>
    <xf numFmtId="179" fontId="16" fillId="4" borderId="0" xfId="0" applyNumberFormat="1" applyFont="1" applyFill="1" applyBorder="1" applyAlignment="1">
      <alignment horizontal="right" vertical="center"/>
    </xf>
    <xf numFmtId="182" fontId="16" fillId="4" borderId="0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 indent="1" shrinkToFit="1"/>
    </xf>
    <xf numFmtId="180" fontId="16" fillId="4" borderId="17" xfId="1" applyNumberFormat="1" applyFont="1" applyFill="1" applyBorder="1" applyAlignment="1">
      <alignment vertical="center"/>
    </xf>
    <xf numFmtId="180" fontId="16" fillId="4" borderId="6" xfId="1" applyNumberFormat="1" applyFont="1" applyFill="1" applyBorder="1" applyAlignment="1">
      <alignment vertical="center"/>
    </xf>
    <xf numFmtId="180" fontId="16" fillId="4" borderId="17" xfId="1" applyNumberFormat="1" applyFont="1" applyFill="1" applyBorder="1" applyAlignment="1">
      <alignment horizontal="right" vertical="center"/>
    </xf>
    <xf numFmtId="180" fontId="16" fillId="4" borderId="6" xfId="1" applyNumberFormat="1" applyFont="1" applyFill="1" applyBorder="1" applyAlignment="1">
      <alignment horizontal="right" vertical="center"/>
    </xf>
    <xf numFmtId="181" fontId="16" fillId="5" borderId="126" xfId="1" applyNumberFormat="1" applyFont="1" applyFill="1" applyBorder="1" applyAlignment="1">
      <alignment vertical="center"/>
    </xf>
    <xf numFmtId="181" fontId="16" fillId="5" borderId="127" xfId="1" applyNumberFormat="1" applyFont="1" applyFill="1" applyBorder="1" applyAlignment="1">
      <alignment vertical="center"/>
    </xf>
    <xf numFmtId="40" fontId="23" fillId="0" borderId="0" xfId="1" applyNumberFormat="1" applyFont="1" applyFill="1" applyBorder="1" applyAlignment="1">
      <alignment vertical="center" shrinkToFit="1"/>
    </xf>
    <xf numFmtId="179" fontId="16" fillId="5" borderId="126" xfId="0" applyNumberFormat="1" applyFont="1" applyFill="1" applyBorder="1" applyAlignment="1">
      <alignment vertical="center"/>
    </xf>
    <xf numFmtId="179" fontId="16" fillId="5" borderId="127" xfId="0" applyNumberFormat="1" applyFont="1" applyFill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33" xfId="0" applyFont="1" applyBorder="1" applyAlignment="1">
      <alignment vertical="center" shrinkToFit="1"/>
    </xf>
    <xf numFmtId="0" fontId="16" fillId="0" borderId="133" xfId="0" applyFont="1" applyBorder="1" applyAlignment="1">
      <alignment horizontal="center" vertical="center"/>
    </xf>
    <xf numFmtId="0" fontId="16" fillId="0" borderId="134" xfId="0" applyFont="1" applyBorder="1" applyAlignment="1">
      <alignment vertical="center"/>
    </xf>
    <xf numFmtId="0" fontId="16" fillId="0" borderId="13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33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106" xfId="0" applyFont="1" applyBorder="1" applyAlignment="1">
      <alignment vertical="center"/>
    </xf>
    <xf numFmtId="0" fontId="16" fillId="0" borderId="107" xfId="0" applyFont="1" applyBorder="1" applyAlignment="1">
      <alignment vertical="center"/>
    </xf>
    <xf numFmtId="0" fontId="16" fillId="5" borderId="132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/>
    </xf>
    <xf numFmtId="0" fontId="16" fillId="5" borderId="130" xfId="0" applyFont="1" applyFill="1" applyBorder="1" applyAlignment="1">
      <alignment vertical="center"/>
    </xf>
    <xf numFmtId="0" fontId="16" fillId="5" borderId="136" xfId="0" applyFont="1" applyFill="1" applyBorder="1" applyAlignment="1">
      <alignment vertical="center"/>
    </xf>
    <xf numFmtId="38" fontId="16" fillId="4" borderId="0" xfId="1" applyFont="1" applyFill="1" applyBorder="1" applyAlignment="1">
      <alignment vertical="center"/>
    </xf>
    <xf numFmtId="181" fontId="16" fillId="0" borderId="125" xfId="1" applyNumberFormat="1" applyFont="1" applyFill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40" fontId="16" fillId="5" borderId="126" xfId="1" applyNumberFormat="1" applyFont="1" applyFill="1" applyBorder="1" applyAlignment="1">
      <alignment vertical="center"/>
    </xf>
    <xf numFmtId="40" fontId="16" fillId="5" borderId="127" xfId="1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40" fontId="16" fillId="4" borderId="0" xfId="1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 shrinkToFit="1"/>
    </xf>
    <xf numFmtId="0" fontId="16" fillId="0" borderId="99" xfId="0" applyFont="1" applyBorder="1" applyAlignment="1">
      <alignment horizontal="right" vertical="center" shrinkToFit="1"/>
    </xf>
    <xf numFmtId="0" fontId="16" fillId="0" borderId="128" xfId="0" applyFont="1" applyBorder="1" applyAlignment="1">
      <alignment horizontal="right" vertical="center" shrinkToFit="1"/>
    </xf>
    <xf numFmtId="0" fontId="16" fillId="0" borderId="98" xfId="0" applyFont="1" applyBorder="1" applyAlignment="1">
      <alignment vertical="center" shrinkToFit="1"/>
    </xf>
    <xf numFmtId="0" fontId="16" fillId="0" borderId="84" xfId="0" applyFont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8" fillId="2" borderId="126" xfId="0" applyFont="1" applyFill="1" applyBorder="1" applyAlignment="1">
      <alignment horizontal="center" vertical="center"/>
    </xf>
    <xf numFmtId="0" fontId="8" fillId="2" borderId="12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shrinkToFit="1"/>
    </xf>
    <xf numFmtId="0" fontId="16" fillId="4" borderId="86" xfId="0" applyFont="1" applyFill="1" applyBorder="1" applyAlignment="1">
      <alignment horizontal="left" vertical="center" shrinkToFit="1"/>
    </xf>
    <xf numFmtId="0" fontId="16" fillId="2" borderId="126" xfId="0" applyFont="1" applyFill="1" applyBorder="1" applyAlignment="1">
      <alignment vertical="center"/>
    </xf>
    <xf numFmtId="0" fontId="16" fillId="2" borderId="127" xfId="0" applyFont="1" applyFill="1" applyBorder="1" applyAlignment="1">
      <alignment vertical="center"/>
    </xf>
    <xf numFmtId="40" fontId="16" fillId="2" borderId="126" xfId="1" applyNumberFormat="1" applyFont="1" applyFill="1" applyBorder="1" applyAlignment="1">
      <alignment vertical="center"/>
    </xf>
    <xf numFmtId="40" fontId="16" fillId="2" borderId="127" xfId="1" applyNumberFormat="1" applyFont="1" applyFill="1" applyBorder="1" applyAlignment="1">
      <alignment vertical="center"/>
    </xf>
    <xf numFmtId="40" fontId="16" fillId="2" borderId="132" xfId="1" applyNumberFormat="1" applyFont="1" applyFill="1" applyBorder="1" applyAlignment="1">
      <alignment vertical="center"/>
    </xf>
    <xf numFmtId="40" fontId="16" fillId="2" borderId="88" xfId="1" applyNumberFormat="1" applyFont="1" applyFill="1" applyBorder="1" applyAlignment="1">
      <alignment vertical="center"/>
    </xf>
    <xf numFmtId="40" fontId="16" fillId="2" borderId="130" xfId="1" applyNumberFormat="1" applyFont="1" applyFill="1" applyBorder="1" applyAlignment="1">
      <alignment vertical="center"/>
    </xf>
    <xf numFmtId="40" fontId="16" fillId="2" borderId="89" xfId="1" applyNumberFormat="1" applyFont="1" applyFill="1" applyBorder="1" applyAlignment="1">
      <alignment vertical="center"/>
    </xf>
    <xf numFmtId="180" fontId="16" fillId="2" borderId="131" xfId="1" applyNumberFormat="1" applyFont="1" applyFill="1" applyBorder="1" applyAlignment="1">
      <alignment vertical="center"/>
    </xf>
    <xf numFmtId="180" fontId="16" fillId="2" borderId="87" xfId="1" applyNumberFormat="1" applyFont="1" applyFill="1" applyBorder="1" applyAlignment="1">
      <alignment vertical="center"/>
    </xf>
    <xf numFmtId="180" fontId="16" fillId="2" borderId="132" xfId="1" applyNumberFormat="1" applyFont="1" applyFill="1" applyBorder="1" applyAlignment="1">
      <alignment vertical="center"/>
    </xf>
    <xf numFmtId="180" fontId="16" fillId="2" borderId="88" xfId="1" applyNumberFormat="1" applyFont="1" applyFill="1" applyBorder="1" applyAlignment="1">
      <alignment vertical="center"/>
    </xf>
    <xf numFmtId="180" fontId="16" fillId="2" borderId="130" xfId="1" applyNumberFormat="1" applyFont="1" applyFill="1" applyBorder="1" applyAlignment="1">
      <alignment vertical="center"/>
    </xf>
    <xf numFmtId="180" fontId="16" fillId="2" borderId="89" xfId="1" applyNumberFormat="1" applyFont="1" applyFill="1" applyBorder="1" applyAlignment="1">
      <alignment vertical="center"/>
    </xf>
    <xf numFmtId="0" fontId="16" fillId="2" borderId="132" xfId="0" applyFont="1" applyFill="1" applyBorder="1" applyAlignment="1">
      <alignment vertical="center"/>
    </xf>
    <xf numFmtId="0" fontId="16" fillId="2" borderId="33" xfId="0" applyFont="1" applyFill="1" applyBorder="1" applyAlignment="1">
      <alignment vertical="center"/>
    </xf>
    <xf numFmtId="0" fontId="16" fillId="2" borderId="130" xfId="0" applyFont="1" applyFill="1" applyBorder="1" applyAlignment="1">
      <alignment vertical="center"/>
    </xf>
    <xf numFmtId="0" fontId="16" fillId="2" borderId="136" xfId="0" applyFont="1" applyFill="1" applyBorder="1" applyAlignment="1">
      <alignment vertical="center"/>
    </xf>
    <xf numFmtId="179" fontId="16" fillId="2" borderId="126" xfId="0" applyNumberFormat="1" applyFont="1" applyFill="1" applyBorder="1" applyAlignment="1">
      <alignment vertical="center"/>
    </xf>
    <xf numFmtId="179" fontId="16" fillId="2" borderId="127" xfId="0" applyNumberFormat="1" applyFont="1" applyFill="1" applyBorder="1" applyAlignment="1">
      <alignment vertical="center"/>
    </xf>
    <xf numFmtId="40" fontId="16" fillId="2" borderId="131" xfId="1" applyNumberFormat="1" applyFont="1" applyFill="1" applyBorder="1" applyAlignment="1">
      <alignment vertical="center"/>
    </xf>
    <xf numFmtId="40" fontId="16" fillId="2" borderId="87" xfId="1" applyNumberFormat="1" applyFont="1" applyFill="1" applyBorder="1" applyAlignment="1">
      <alignment vertical="center"/>
    </xf>
    <xf numFmtId="181" fontId="16" fillId="2" borderId="126" xfId="1" applyNumberFormat="1" applyFont="1" applyFill="1" applyBorder="1" applyAlignment="1">
      <alignment vertical="center"/>
    </xf>
    <xf numFmtId="181" fontId="16" fillId="2" borderId="127" xfId="1" applyNumberFormat="1" applyFont="1" applyFill="1" applyBorder="1" applyAlignment="1">
      <alignment vertical="center"/>
    </xf>
    <xf numFmtId="38" fontId="16" fillId="2" borderId="132" xfId="1" applyFont="1" applyFill="1" applyBorder="1" applyAlignment="1">
      <alignment vertical="center"/>
    </xf>
    <xf numFmtId="38" fontId="16" fillId="2" borderId="88" xfId="1" applyFont="1" applyFill="1" applyBorder="1" applyAlignment="1">
      <alignment vertical="center"/>
    </xf>
    <xf numFmtId="179" fontId="16" fillId="2" borderId="131" xfId="1" applyNumberFormat="1" applyFont="1" applyFill="1" applyBorder="1" applyAlignment="1">
      <alignment vertical="center"/>
    </xf>
    <xf numFmtId="179" fontId="16" fillId="2" borderId="87" xfId="1" applyNumberFormat="1" applyFont="1" applyFill="1" applyBorder="1" applyAlignment="1">
      <alignment vertical="center"/>
    </xf>
    <xf numFmtId="179" fontId="16" fillId="2" borderId="132" xfId="1" applyNumberFormat="1" applyFont="1" applyFill="1" applyBorder="1" applyAlignment="1">
      <alignment vertical="center"/>
    </xf>
    <xf numFmtId="179" fontId="16" fillId="2" borderId="88" xfId="1" applyNumberFormat="1" applyFont="1" applyFill="1" applyBorder="1" applyAlignment="1">
      <alignment vertical="center"/>
    </xf>
    <xf numFmtId="179" fontId="16" fillId="2" borderId="130" xfId="1" applyNumberFormat="1" applyFont="1" applyFill="1" applyBorder="1" applyAlignment="1">
      <alignment vertical="center"/>
    </xf>
    <xf numFmtId="179" fontId="16" fillId="2" borderId="89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133350</xdr:rowOff>
    </xdr:from>
    <xdr:to>
      <xdr:col>22</xdr:col>
      <xdr:colOff>228600</xdr:colOff>
      <xdr:row>20</xdr:row>
      <xdr:rowOff>0</xdr:rowOff>
    </xdr:to>
    <xdr:grpSp>
      <xdr:nvGrpSpPr>
        <xdr:cNvPr id="4061" name="Group 66"/>
        <xdr:cNvGrpSpPr>
          <a:grpSpLocks/>
        </xdr:cNvGrpSpPr>
      </xdr:nvGrpSpPr>
      <xdr:grpSpPr bwMode="auto">
        <a:xfrm>
          <a:off x="276225" y="1495425"/>
          <a:ext cx="6448425" cy="2933700"/>
          <a:chOff x="29" y="172"/>
          <a:chExt cx="677" cy="289"/>
        </a:xfrm>
      </xdr:grpSpPr>
      <xdr:sp macro="" textlink="">
        <xdr:nvSpPr>
          <xdr:cNvPr id="4064" name="Rectangle 11"/>
          <xdr:cNvSpPr>
            <a:spLocks noChangeArrowheads="1"/>
          </xdr:cNvSpPr>
        </xdr:nvSpPr>
        <xdr:spPr bwMode="auto">
          <a:xfrm>
            <a:off x="86" y="253"/>
            <a:ext cx="368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dash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65" name="Rectangle 12"/>
          <xdr:cNvSpPr>
            <a:spLocks noChangeArrowheads="1"/>
          </xdr:cNvSpPr>
        </xdr:nvSpPr>
        <xdr:spPr bwMode="auto">
          <a:xfrm>
            <a:off x="81" y="275"/>
            <a:ext cx="372" cy="1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6" name="Rectangle 14"/>
          <xdr:cNvSpPr>
            <a:spLocks noChangeArrowheads="1"/>
          </xdr:cNvSpPr>
        </xdr:nvSpPr>
        <xdr:spPr bwMode="auto">
          <a:xfrm>
            <a:off x="135" y="401"/>
            <a:ext cx="98" cy="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浄化槽放流水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換算面積</a:t>
            </a:r>
          </a:p>
        </xdr:txBody>
      </xdr:sp>
      <xdr:sp macro="" textlink="">
        <xdr:nvSpPr>
          <xdr:cNvPr id="4067" name="Rectangle 16"/>
          <xdr:cNvSpPr>
            <a:spLocks noChangeArrowheads="1"/>
          </xdr:cNvSpPr>
        </xdr:nvSpPr>
        <xdr:spPr bwMode="auto">
          <a:xfrm>
            <a:off x="32" y="272"/>
            <a:ext cx="466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2" y="184"/>
            <a:ext cx="21" cy="2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水路</a:t>
            </a:r>
          </a:p>
        </xdr:txBody>
      </xdr:sp>
      <xdr:sp macro="" textlink="">
        <xdr:nvSpPr>
          <xdr:cNvPr id="3087" name="Rectangle 15"/>
          <xdr:cNvSpPr>
            <a:spLocks noChangeArrowheads="1"/>
          </xdr:cNvSpPr>
        </xdr:nvSpPr>
        <xdr:spPr bwMode="auto">
          <a:xfrm>
            <a:off x="438" y="182"/>
            <a:ext cx="21" cy="2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水路</a:t>
            </a:r>
          </a:p>
        </xdr:txBody>
      </xdr:sp>
      <xdr:sp macro="" textlink="">
        <xdr:nvSpPr>
          <xdr:cNvPr id="4070" name="Rectangle 22"/>
          <xdr:cNvSpPr>
            <a:spLocks noChangeArrowheads="1"/>
          </xdr:cNvSpPr>
        </xdr:nvSpPr>
        <xdr:spPr bwMode="auto">
          <a:xfrm>
            <a:off x="60" y="173"/>
            <a:ext cx="44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71" name="Rectangle 23"/>
          <xdr:cNvSpPr>
            <a:spLocks noChangeArrowheads="1"/>
          </xdr:cNvSpPr>
        </xdr:nvSpPr>
        <xdr:spPr bwMode="auto">
          <a:xfrm>
            <a:off x="428" y="172"/>
            <a:ext cx="44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72" name="Rectangle 24"/>
          <xdr:cNvSpPr>
            <a:spLocks noChangeArrowheads="1"/>
          </xdr:cNvSpPr>
        </xdr:nvSpPr>
        <xdr:spPr bwMode="auto">
          <a:xfrm>
            <a:off x="60" y="446"/>
            <a:ext cx="411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73" name="Line 27"/>
          <xdr:cNvSpPr>
            <a:spLocks noChangeShapeType="1"/>
          </xdr:cNvSpPr>
        </xdr:nvSpPr>
        <xdr:spPr bwMode="auto">
          <a:xfrm>
            <a:off x="37" y="253"/>
            <a:ext cx="4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74" name="Line 28"/>
          <xdr:cNvSpPr>
            <a:spLocks noChangeShapeType="1"/>
          </xdr:cNvSpPr>
        </xdr:nvSpPr>
        <xdr:spPr bwMode="auto">
          <a:xfrm>
            <a:off x="36" y="234"/>
            <a:ext cx="54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75" name="Line 29"/>
          <xdr:cNvSpPr>
            <a:spLocks noChangeShapeType="1"/>
          </xdr:cNvSpPr>
        </xdr:nvSpPr>
        <xdr:spPr bwMode="auto">
          <a:xfrm>
            <a:off x="36" y="272"/>
            <a:ext cx="54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583" y="242"/>
            <a:ext cx="109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Ｗ：道路幅員</a:t>
            </a:r>
          </a:p>
        </xdr:txBody>
      </xdr:sp>
      <xdr:sp macro="" textlink="">
        <xdr:nvSpPr>
          <xdr:cNvPr id="4077" name="Line 32"/>
          <xdr:cNvSpPr>
            <a:spLocks noChangeShapeType="1"/>
          </xdr:cNvSpPr>
        </xdr:nvSpPr>
        <xdr:spPr bwMode="auto">
          <a:xfrm>
            <a:off x="93" y="198"/>
            <a:ext cx="3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5" name="Text Box 33"/>
          <xdr:cNvSpPr txBox="1">
            <a:spLocks noChangeArrowheads="1"/>
          </xdr:cNvSpPr>
        </xdr:nvSpPr>
        <xdr:spPr bwMode="auto">
          <a:xfrm>
            <a:off x="209" y="179"/>
            <a:ext cx="144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Ｌ：流末水路間隔</a:t>
            </a:r>
          </a:p>
        </xdr:txBody>
      </xdr:sp>
      <xdr:sp macro="" textlink="">
        <xdr:nvSpPr>
          <xdr:cNvPr id="4079" name="Line 34"/>
          <xdr:cNvSpPr>
            <a:spLocks noChangeShapeType="1"/>
          </xdr:cNvSpPr>
        </xdr:nvSpPr>
        <xdr:spPr bwMode="auto">
          <a:xfrm>
            <a:off x="576" y="234"/>
            <a:ext cx="0" cy="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0" name="Line 35"/>
          <xdr:cNvSpPr>
            <a:spLocks noChangeShapeType="1"/>
          </xdr:cNvSpPr>
        </xdr:nvSpPr>
        <xdr:spPr bwMode="auto">
          <a:xfrm>
            <a:off x="517" y="270"/>
            <a:ext cx="0" cy="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1" name="Line 36"/>
          <xdr:cNvSpPr>
            <a:spLocks noChangeShapeType="1"/>
          </xdr:cNvSpPr>
        </xdr:nvSpPr>
        <xdr:spPr bwMode="auto">
          <a:xfrm>
            <a:off x="517" y="236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2" name="Line 37"/>
          <xdr:cNvSpPr>
            <a:spLocks noChangeShapeType="1"/>
          </xdr:cNvSpPr>
        </xdr:nvSpPr>
        <xdr:spPr bwMode="auto">
          <a:xfrm>
            <a:off x="517" y="253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0" name="Text Box 38"/>
          <xdr:cNvSpPr txBox="1">
            <a:spLocks noChangeArrowheads="1"/>
          </xdr:cNvSpPr>
        </xdr:nvSpPr>
        <xdr:spPr bwMode="auto">
          <a:xfrm>
            <a:off x="520" y="255"/>
            <a:ext cx="52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Ｗ/２</a:t>
            </a:r>
          </a:p>
        </xdr:txBody>
      </xdr:sp>
      <xdr:sp macro="" textlink="">
        <xdr:nvSpPr>
          <xdr:cNvPr id="3085" name="Rectangle 13"/>
          <xdr:cNvSpPr>
            <a:spLocks noChangeArrowheads="1"/>
          </xdr:cNvSpPr>
        </xdr:nvSpPr>
        <xdr:spPr bwMode="auto">
          <a:xfrm>
            <a:off x="135" y="280"/>
            <a:ext cx="98" cy="1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申請地</a:t>
            </a:r>
          </a:p>
        </xdr:txBody>
      </xdr:sp>
      <xdr:sp macro="" textlink="">
        <xdr:nvSpPr>
          <xdr:cNvPr id="4085" name="Line 39"/>
          <xdr:cNvSpPr>
            <a:spLocks noChangeShapeType="1"/>
          </xdr:cNvSpPr>
        </xdr:nvSpPr>
        <xdr:spPr bwMode="auto">
          <a:xfrm>
            <a:off x="35" y="385"/>
            <a:ext cx="52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6" name="Line 40"/>
          <xdr:cNvSpPr>
            <a:spLocks noChangeShapeType="1"/>
          </xdr:cNvSpPr>
        </xdr:nvSpPr>
        <xdr:spPr bwMode="auto">
          <a:xfrm>
            <a:off x="36" y="280"/>
            <a:ext cx="52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7" name="Line 41"/>
          <xdr:cNvSpPr>
            <a:spLocks noChangeShapeType="1"/>
          </xdr:cNvSpPr>
        </xdr:nvSpPr>
        <xdr:spPr bwMode="auto">
          <a:xfrm>
            <a:off x="544" y="279"/>
            <a:ext cx="0" cy="10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4" name="Text Box 42"/>
          <xdr:cNvSpPr txBox="1">
            <a:spLocks noChangeArrowheads="1"/>
          </xdr:cNvSpPr>
        </xdr:nvSpPr>
        <xdr:spPr bwMode="auto">
          <a:xfrm>
            <a:off x="546" y="314"/>
            <a:ext cx="16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Ｂ：集水可能な沿道幅</a:t>
            </a:r>
          </a:p>
        </xdr:txBody>
      </xdr:sp>
      <xdr:sp macro="" textlink="">
        <xdr:nvSpPr>
          <xdr:cNvPr id="4089" name="Line 43"/>
          <xdr:cNvSpPr>
            <a:spLocks noChangeShapeType="1"/>
          </xdr:cNvSpPr>
        </xdr:nvSpPr>
        <xdr:spPr bwMode="auto">
          <a:xfrm>
            <a:off x="240" y="401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0" name="Line 44"/>
          <xdr:cNvSpPr>
            <a:spLocks noChangeShapeType="1"/>
          </xdr:cNvSpPr>
        </xdr:nvSpPr>
        <xdr:spPr bwMode="auto">
          <a:xfrm>
            <a:off x="249" y="280"/>
            <a:ext cx="0" cy="1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7" name="Text Box 45"/>
          <xdr:cNvSpPr txBox="1">
            <a:spLocks noChangeArrowheads="1"/>
          </xdr:cNvSpPr>
        </xdr:nvSpPr>
        <xdr:spPr bwMode="auto">
          <a:xfrm>
            <a:off x="251" y="326"/>
            <a:ext cx="131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ｘ：申請地奥行</a:t>
            </a:r>
          </a:p>
        </xdr:txBody>
      </xdr:sp>
      <xdr:sp macro="" textlink="">
        <xdr:nvSpPr>
          <xdr:cNvPr id="4092" name="Rectangle 20"/>
          <xdr:cNvSpPr>
            <a:spLocks noChangeArrowheads="1"/>
          </xdr:cNvSpPr>
        </xdr:nvSpPr>
        <xdr:spPr bwMode="auto">
          <a:xfrm>
            <a:off x="29" y="223"/>
            <a:ext cx="12" cy="1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93" name="Rectangle 21"/>
          <xdr:cNvSpPr>
            <a:spLocks noChangeArrowheads="1"/>
          </xdr:cNvSpPr>
        </xdr:nvSpPr>
        <xdr:spPr bwMode="auto">
          <a:xfrm>
            <a:off x="490" y="222"/>
            <a:ext cx="12" cy="1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94" name="Line 46"/>
          <xdr:cNvSpPr>
            <a:spLocks noChangeShapeType="1"/>
          </xdr:cNvSpPr>
        </xdr:nvSpPr>
        <xdr:spPr bwMode="auto">
          <a:xfrm>
            <a:off x="239" y="438"/>
            <a:ext cx="32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5" name="Line 47"/>
          <xdr:cNvSpPr>
            <a:spLocks noChangeShapeType="1"/>
          </xdr:cNvSpPr>
        </xdr:nvSpPr>
        <xdr:spPr bwMode="auto">
          <a:xfrm>
            <a:off x="249" y="400"/>
            <a:ext cx="0" cy="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0" name="Text Box 48"/>
          <xdr:cNvSpPr txBox="1">
            <a:spLocks noChangeArrowheads="1"/>
          </xdr:cNvSpPr>
        </xdr:nvSpPr>
        <xdr:spPr bwMode="auto">
          <a:xfrm>
            <a:off x="250" y="411"/>
            <a:ext cx="16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α：放流による加算奥行</a:t>
            </a:r>
          </a:p>
        </xdr:txBody>
      </xdr:sp>
      <xdr:sp macro="" textlink="">
        <xdr:nvSpPr>
          <xdr:cNvPr id="10241" name="Line 49"/>
          <xdr:cNvSpPr>
            <a:spLocks noChangeShapeType="1"/>
          </xdr:cNvSpPr>
        </xdr:nvSpPr>
        <xdr:spPr bwMode="auto">
          <a:xfrm>
            <a:off x="544" y="385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2" name="Text Box 50"/>
          <xdr:cNvSpPr txBox="1">
            <a:spLocks noChangeArrowheads="1"/>
          </xdr:cNvSpPr>
        </xdr:nvSpPr>
        <xdr:spPr bwMode="auto">
          <a:xfrm>
            <a:off x="549" y="403"/>
            <a:ext cx="131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流出抑制対象幅</a:t>
            </a:r>
          </a:p>
        </xdr:txBody>
      </xdr:sp>
      <xdr:sp macro="" textlink="">
        <xdr:nvSpPr>
          <xdr:cNvPr id="3124" name="AutoShape 52"/>
          <xdr:cNvSpPr>
            <a:spLocks noChangeArrowheads="1"/>
          </xdr:cNvSpPr>
        </xdr:nvSpPr>
        <xdr:spPr bwMode="auto">
          <a:xfrm>
            <a:off x="311" y="290"/>
            <a:ext cx="106" cy="21"/>
          </a:xfrm>
          <a:prstGeom prst="wedgeRectCallout">
            <a:avLst>
              <a:gd name="adj1" fmla="val -29245"/>
              <a:gd name="adj2" fmla="val -111903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道路排水施設</a:t>
            </a:r>
          </a:p>
        </xdr:txBody>
      </xdr:sp>
      <xdr:sp macro="" textlink="">
        <xdr:nvSpPr>
          <xdr:cNvPr id="10244" name="Line 53"/>
          <xdr:cNvSpPr>
            <a:spLocks noChangeShapeType="1"/>
          </xdr:cNvSpPr>
        </xdr:nvSpPr>
        <xdr:spPr bwMode="auto">
          <a:xfrm flipV="1">
            <a:off x="135" y="211"/>
            <a:ext cx="0" cy="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5" name="Line 54"/>
          <xdr:cNvSpPr>
            <a:spLocks noChangeShapeType="1"/>
          </xdr:cNvSpPr>
        </xdr:nvSpPr>
        <xdr:spPr bwMode="auto">
          <a:xfrm flipV="1">
            <a:off x="233" y="211"/>
            <a:ext cx="0" cy="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6" name="Line 55"/>
          <xdr:cNvSpPr>
            <a:spLocks noChangeShapeType="1"/>
          </xdr:cNvSpPr>
        </xdr:nvSpPr>
        <xdr:spPr bwMode="auto">
          <a:xfrm>
            <a:off x="135" y="222"/>
            <a:ext cx="9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8" name="Text Box 56"/>
          <xdr:cNvSpPr txBox="1">
            <a:spLocks noChangeArrowheads="1"/>
          </xdr:cNvSpPr>
        </xdr:nvSpPr>
        <xdr:spPr bwMode="auto">
          <a:xfrm>
            <a:off x="158" y="205"/>
            <a:ext cx="9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ｙ：間口</a:t>
            </a:r>
          </a:p>
        </xdr:txBody>
      </xdr:sp>
      <xdr:sp macro="" textlink="">
        <xdr:nvSpPr>
          <xdr:cNvPr id="3129" name="Text Box 57"/>
          <xdr:cNvSpPr txBox="1">
            <a:spLocks noChangeArrowheads="1"/>
          </xdr:cNvSpPr>
        </xdr:nvSpPr>
        <xdr:spPr bwMode="auto">
          <a:xfrm>
            <a:off x="349" y="359"/>
            <a:ext cx="89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8000"/>
                </a:solidFill>
                <a:latin typeface="ＭＳ Ｐ明朝"/>
                <a:ea typeface="ＭＳ Ｐ明朝"/>
              </a:rPr>
              <a:t>集水流域</a:t>
            </a:r>
          </a:p>
        </xdr:txBody>
      </xdr:sp>
      <xdr:sp macro="" textlink="">
        <xdr:nvSpPr>
          <xdr:cNvPr id="10249" name="AutoShape 60"/>
          <xdr:cNvSpPr>
            <a:spLocks noChangeArrowheads="1"/>
          </xdr:cNvSpPr>
        </xdr:nvSpPr>
        <xdr:spPr bwMode="auto">
          <a:xfrm>
            <a:off x="411" y="271"/>
            <a:ext cx="24" cy="10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</xdr:sp>
      <xdr:sp macro="" textlink="">
        <xdr:nvSpPr>
          <xdr:cNvPr id="10250" name="AutoShape 61"/>
          <xdr:cNvSpPr>
            <a:spLocks noChangeArrowheads="1"/>
          </xdr:cNvSpPr>
        </xdr:nvSpPr>
        <xdr:spPr bwMode="auto">
          <a:xfrm>
            <a:off x="97" y="271"/>
            <a:ext cx="24" cy="10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180975</xdr:colOff>
      <xdr:row>45</xdr:row>
      <xdr:rowOff>28575</xdr:rowOff>
    </xdr:from>
    <xdr:to>
      <xdr:col>2</xdr:col>
      <xdr:colOff>104775</xdr:colOff>
      <xdr:row>45</xdr:row>
      <xdr:rowOff>228600</xdr:rowOff>
    </xdr:to>
    <xdr:sp macro="" textlink="">
      <xdr:nvSpPr>
        <xdr:cNvPr id="4062" name="AutoShape 67"/>
        <xdr:cNvSpPr>
          <a:spLocks noChangeArrowheads="1"/>
        </xdr:cNvSpPr>
      </xdr:nvSpPr>
      <xdr:spPr bwMode="auto">
        <a:xfrm>
          <a:off x="476250" y="9972675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200025</xdr:colOff>
      <xdr:row>45</xdr:row>
      <xdr:rowOff>28575</xdr:rowOff>
    </xdr:from>
    <xdr:to>
      <xdr:col>13</xdr:col>
      <xdr:colOff>123825</xdr:colOff>
      <xdr:row>45</xdr:row>
      <xdr:rowOff>228600</xdr:rowOff>
    </xdr:to>
    <xdr:sp macro="" textlink="">
      <xdr:nvSpPr>
        <xdr:cNvPr id="4063" name="AutoShape 68"/>
        <xdr:cNvSpPr>
          <a:spLocks noChangeArrowheads="1"/>
        </xdr:cNvSpPr>
      </xdr:nvSpPr>
      <xdr:spPr bwMode="auto">
        <a:xfrm>
          <a:off x="3743325" y="9972675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49</xdr:row>
      <xdr:rowOff>38100</xdr:rowOff>
    </xdr:from>
    <xdr:to>
      <xdr:col>2</xdr:col>
      <xdr:colOff>104775</xdr:colOff>
      <xdr:row>49</xdr:row>
      <xdr:rowOff>238125</xdr:rowOff>
    </xdr:to>
    <xdr:sp macro="" textlink="">
      <xdr:nvSpPr>
        <xdr:cNvPr id="8280" name="AutoShape 46"/>
        <xdr:cNvSpPr>
          <a:spLocks noChangeArrowheads="1"/>
        </xdr:cNvSpPr>
      </xdr:nvSpPr>
      <xdr:spPr bwMode="auto">
        <a:xfrm>
          <a:off x="476250" y="9858375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200025</xdr:colOff>
      <xdr:row>49</xdr:row>
      <xdr:rowOff>38100</xdr:rowOff>
    </xdr:from>
    <xdr:to>
      <xdr:col>13</xdr:col>
      <xdr:colOff>123825</xdr:colOff>
      <xdr:row>49</xdr:row>
      <xdr:rowOff>238125</xdr:rowOff>
    </xdr:to>
    <xdr:sp macro="" textlink="">
      <xdr:nvSpPr>
        <xdr:cNvPr id="8281" name="AutoShape 47"/>
        <xdr:cNvSpPr>
          <a:spLocks noChangeArrowheads="1"/>
        </xdr:cNvSpPr>
      </xdr:nvSpPr>
      <xdr:spPr bwMode="auto">
        <a:xfrm>
          <a:off x="3743325" y="9858375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190500</xdr:rowOff>
    </xdr:from>
    <xdr:to>
      <xdr:col>20</xdr:col>
      <xdr:colOff>257175</xdr:colOff>
      <xdr:row>19</xdr:row>
      <xdr:rowOff>9525</xdr:rowOff>
    </xdr:to>
    <xdr:grpSp>
      <xdr:nvGrpSpPr>
        <xdr:cNvPr id="5113" name="Group 132"/>
        <xdr:cNvGrpSpPr>
          <a:grpSpLocks/>
        </xdr:cNvGrpSpPr>
      </xdr:nvGrpSpPr>
      <xdr:grpSpPr bwMode="auto">
        <a:xfrm>
          <a:off x="666750" y="1285875"/>
          <a:ext cx="5876925" cy="2886075"/>
          <a:chOff x="49" y="139"/>
          <a:chExt cx="617" cy="327"/>
        </a:xfrm>
      </xdr:grpSpPr>
      <xdr:sp macro="" textlink="">
        <xdr:nvSpPr>
          <xdr:cNvPr id="5116" name="Freeform 74"/>
          <xdr:cNvSpPr>
            <a:spLocks/>
          </xdr:cNvSpPr>
        </xdr:nvSpPr>
        <xdr:spPr bwMode="auto">
          <a:xfrm>
            <a:off x="114" y="219"/>
            <a:ext cx="344" cy="92"/>
          </a:xfrm>
          <a:custGeom>
            <a:avLst/>
            <a:gdLst>
              <a:gd name="T0" fmla="*/ 0 w 344"/>
              <a:gd name="T1" fmla="*/ 92 h 92"/>
              <a:gd name="T2" fmla="*/ 65 w 344"/>
              <a:gd name="T3" fmla="*/ 24 h 92"/>
              <a:gd name="T4" fmla="*/ 149 w 344"/>
              <a:gd name="T5" fmla="*/ 24 h 92"/>
              <a:gd name="T6" fmla="*/ 187 w 344"/>
              <a:gd name="T7" fmla="*/ 0 h 92"/>
              <a:gd name="T8" fmla="*/ 290 w 344"/>
              <a:gd name="T9" fmla="*/ 0 h 92"/>
              <a:gd name="T10" fmla="*/ 344 w 344"/>
              <a:gd name="T11" fmla="*/ 92 h 92"/>
              <a:gd name="T12" fmla="*/ 0 w 344"/>
              <a:gd name="T13" fmla="*/ 92 h 9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344" h="92">
                <a:moveTo>
                  <a:pt x="0" y="92"/>
                </a:moveTo>
                <a:lnTo>
                  <a:pt x="65" y="24"/>
                </a:lnTo>
                <a:lnTo>
                  <a:pt x="149" y="24"/>
                </a:lnTo>
                <a:lnTo>
                  <a:pt x="187" y="0"/>
                </a:lnTo>
                <a:lnTo>
                  <a:pt x="290" y="0"/>
                </a:lnTo>
                <a:lnTo>
                  <a:pt x="344" y="92"/>
                </a:lnTo>
                <a:lnTo>
                  <a:pt x="0" y="9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4178" name="Rectangle 82"/>
          <xdr:cNvSpPr>
            <a:spLocks noChangeArrowheads="1"/>
          </xdr:cNvSpPr>
        </xdr:nvSpPr>
        <xdr:spPr bwMode="auto">
          <a:xfrm>
            <a:off x="106" y="314"/>
            <a:ext cx="368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dash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0" rIns="27432" bIns="18288" anchor="b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Ｐ明朝"/>
                <a:ea typeface="ＭＳ Ｐ明朝"/>
              </a:rPr>
              <a:t>集水流域Ⅰ</a:t>
            </a:r>
          </a:p>
        </xdr:txBody>
      </xdr:sp>
      <xdr:sp macro="" textlink="">
        <xdr:nvSpPr>
          <xdr:cNvPr id="5118" name="Rectangle 70"/>
          <xdr:cNvSpPr>
            <a:spLocks noChangeArrowheads="1"/>
          </xdr:cNvSpPr>
        </xdr:nvSpPr>
        <xdr:spPr bwMode="auto">
          <a:xfrm>
            <a:off x="54" y="311"/>
            <a:ext cx="466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3" name="Rectangle 27"/>
          <xdr:cNvSpPr>
            <a:spLocks noChangeArrowheads="1"/>
          </xdr:cNvSpPr>
        </xdr:nvSpPr>
        <xdr:spPr bwMode="auto">
          <a:xfrm>
            <a:off x="106" y="339"/>
            <a:ext cx="368" cy="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dash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6600"/>
                </a:solidFill>
                <a:latin typeface="ＭＳ Ｐ明朝"/>
                <a:ea typeface="ＭＳ Ｐ明朝"/>
              </a:rPr>
              <a:t>集水流域Ⅱ</a:t>
            </a:r>
          </a:p>
        </xdr:txBody>
      </xdr:sp>
      <xdr:sp macro="" textlink="">
        <xdr:nvSpPr>
          <xdr:cNvPr id="11264" name="Rectangle 28"/>
          <xdr:cNvSpPr>
            <a:spLocks noChangeArrowheads="1"/>
          </xdr:cNvSpPr>
        </xdr:nvSpPr>
        <xdr:spPr bwMode="auto">
          <a:xfrm>
            <a:off x="101" y="363"/>
            <a:ext cx="372" cy="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65" name="Rectangle 30"/>
          <xdr:cNvSpPr>
            <a:spLocks noChangeArrowheads="1"/>
          </xdr:cNvSpPr>
        </xdr:nvSpPr>
        <xdr:spPr bwMode="auto">
          <a:xfrm>
            <a:off x="52" y="360"/>
            <a:ext cx="466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7" name="Rectangle 31"/>
          <xdr:cNvSpPr>
            <a:spLocks noChangeArrowheads="1"/>
          </xdr:cNvSpPr>
        </xdr:nvSpPr>
        <xdr:spPr bwMode="auto">
          <a:xfrm>
            <a:off x="92" y="174"/>
            <a:ext cx="21" cy="2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　　　水路</a:t>
            </a:r>
          </a:p>
        </xdr:txBody>
      </xdr:sp>
      <xdr:sp macro="" textlink="">
        <xdr:nvSpPr>
          <xdr:cNvPr id="4128" name="Rectangle 32"/>
          <xdr:cNvSpPr>
            <a:spLocks noChangeArrowheads="1"/>
          </xdr:cNvSpPr>
        </xdr:nvSpPr>
        <xdr:spPr bwMode="auto">
          <a:xfrm>
            <a:off x="458" y="176"/>
            <a:ext cx="21" cy="2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　　　水路</a:t>
            </a:r>
          </a:p>
        </xdr:txBody>
      </xdr:sp>
      <xdr:sp macro="" textlink="">
        <xdr:nvSpPr>
          <xdr:cNvPr id="11268" name="Rectangle 35"/>
          <xdr:cNvSpPr>
            <a:spLocks noChangeArrowheads="1"/>
          </xdr:cNvSpPr>
        </xdr:nvSpPr>
        <xdr:spPr bwMode="auto">
          <a:xfrm>
            <a:off x="83" y="449"/>
            <a:ext cx="411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69" name="Line 36"/>
          <xdr:cNvSpPr>
            <a:spLocks noChangeShapeType="1"/>
          </xdr:cNvSpPr>
        </xdr:nvSpPr>
        <xdr:spPr bwMode="auto">
          <a:xfrm>
            <a:off x="57" y="339"/>
            <a:ext cx="4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0" name="Line 38"/>
          <xdr:cNvSpPr>
            <a:spLocks noChangeShapeType="1"/>
          </xdr:cNvSpPr>
        </xdr:nvSpPr>
        <xdr:spPr bwMode="auto">
          <a:xfrm>
            <a:off x="56" y="360"/>
            <a:ext cx="5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5" name="Text Box 39"/>
          <xdr:cNvSpPr txBox="1">
            <a:spLocks noChangeArrowheads="1"/>
          </xdr:cNvSpPr>
        </xdr:nvSpPr>
        <xdr:spPr bwMode="auto">
          <a:xfrm>
            <a:off x="580" y="334"/>
            <a:ext cx="86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Ｗ：道路幅員</a:t>
            </a:r>
          </a:p>
        </xdr:txBody>
      </xdr:sp>
      <xdr:sp macro="" textlink="">
        <xdr:nvSpPr>
          <xdr:cNvPr id="11272" name="Line 40"/>
          <xdr:cNvSpPr>
            <a:spLocks noChangeShapeType="1"/>
          </xdr:cNvSpPr>
        </xdr:nvSpPr>
        <xdr:spPr bwMode="auto">
          <a:xfrm>
            <a:off x="113" y="155"/>
            <a:ext cx="3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7" name="Text Box 41"/>
          <xdr:cNvSpPr txBox="1">
            <a:spLocks noChangeArrowheads="1"/>
          </xdr:cNvSpPr>
        </xdr:nvSpPr>
        <xdr:spPr bwMode="auto">
          <a:xfrm>
            <a:off x="215" y="139"/>
            <a:ext cx="144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Ｌ：流末水路間隔</a:t>
            </a:r>
          </a:p>
        </xdr:txBody>
      </xdr:sp>
      <xdr:sp macro="" textlink="">
        <xdr:nvSpPr>
          <xdr:cNvPr id="11274" name="Line 42"/>
          <xdr:cNvSpPr>
            <a:spLocks noChangeShapeType="1"/>
          </xdr:cNvSpPr>
        </xdr:nvSpPr>
        <xdr:spPr bwMode="auto">
          <a:xfrm>
            <a:off x="573" y="319"/>
            <a:ext cx="0" cy="4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5" name="Line 43"/>
          <xdr:cNvSpPr>
            <a:spLocks noChangeShapeType="1"/>
          </xdr:cNvSpPr>
        </xdr:nvSpPr>
        <xdr:spPr bwMode="auto">
          <a:xfrm>
            <a:off x="537" y="357"/>
            <a:ext cx="0" cy="2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sm" len="med"/>
            <a:tailEnd type="none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6" name="Line 44"/>
          <xdr:cNvSpPr>
            <a:spLocks noChangeShapeType="1"/>
          </xdr:cNvSpPr>
        </xdr:nvSpPr>
        <xdr:spPr bwMode="auto">
          <a:xfrm>
            <a:off x="537" y="321"/>
            <a:ext cx="0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arrow" w="sm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7" name="Line 45"/>
          <xdr:cNvSpPr>
            <a:spLocks noChangeShapeType="1"/>
          </xdr:cNvSpPr>
        </xdr:nvSpPr>
        <xdr:spPr bwMode="auto">
          <a:xfrm>
            <a:off x="537" y="339"/>
            <a:ext cx="0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2" name="Text Box 46"/>
          <xdr:cNvSpPr txBox="1">
            <a:spLocks noChangeArrowheads="1"/>
          </xdr:cNvSpPr>
        </xdr:nvSpPr>
        <xdr:spPr bwMode="auto">
          <a:xfrm>
            <a:off x="539" y="363"/>
            <a:ext cx="5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Ｗ/２</a:t>
            </a:r>
          </a:p>
        </xdr:txBody>
      </xdr:sp>
      <xdr:sp macro="" textlink="">
        <xdr:nvSpPr>
          <xdr:cNvPr id="4143" name="Rectangle 47" descr="右上がり対角線"/>
          <xdr:cNvSpPr>
            <a:spLocks noChangeArrowheads="1"/>
          </xdr:cNvSpPr>
        </xdr:nvSpPr>
        <xdr:spPr bwMode="auto">
          <a:xfrm>
            <a:off x="155" y="368"/>
            <a:ext cx="77" cy="64"/>
          </a:xfrm>
          <a:prstGeom prst="rect">
            <a:avLst/>
          </a:prstGeom>
          <a:pattFill prst="ltUpDiag">
            <a:fgClr>
              <a:srgbClr xmlns:mc="http://schemas.openxmlformats.org/markup-compatibility/2006" xmlns:a14="http://schemas.microsoft.com/office/drawing/2010/main" val="FFCC00" mc:Ignorable="a14" a14:legacySpreadsheetColorIndex="51"/>
            </a:fgClr>
            <a:bgClr>
              <a:srgbClr xmlns:mc="http://schemas.openxmlformats.org/markup-compatibility/2006" xmlns:a14="http://schemas.microsoft.com/office/drawing/2010/main" val="FFFF99" mc:Ignorable="a14" a14:legacySpreadsheetColorIndex="43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FF6600"/>
                </a:solidFill>
                <a:latin typeface="ＭＳ Ｐ明朝"/>
                <a:ea typeface="ＭＳ Ｐ明朝"/>
              </a:rPr>
              <a:t>申請地Ⅱ</a:t>
            </a:r>
          </a:p>
        </xdr:txBody>
      </xdr:sp>
      <xdr:sp macro="" textlink="">
        <xdr:nvSpPr>
          <xdr:cNvPr id="11280" name="Line 49"/>
          <xdr:cNvSpPr>
            <a:spLocks noChangeShapeType="1"/>
          </xdr:cNvSpPr>
        </xdr:nvSpPr>
        <xdr:spPr bwMode="auto">
          <a:xfrm>
            <a:off x="56" y="368"/>
            <a:ext cx="4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8" name="AutoShape 62"/>
          <xdr:cNvSpPr>
            <a:spLocks noChangeArrowheads="1"/>
          </xdr:cNvSpPr>
        </xdr:nvSpPr>
        <xdr:spPr bwMode="auto">
          <a:xfrm>
            <a:off x="331" y="379"/>
            <a:ext cx="106" cy="26"/>
          </a:xfrm>
          <a:prstGeom prst="wedgeRectCallout">
            <a:avLst>
              <a:gd name="adj1" fmla="val -29245"/>
              <a:gd name="adj2" fmla="val -11363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道路排水施設</a:t>
            </a:r>
          </a:p>
        </xdr:txBody>
      </xdr:sp>
      <xdr:sp macro="" textlink="">
        <xdr:nvSpPr>
          <xdr:cNvPr id="11282" name="Line 64"/>
          <xdr:cNvSpPr>
            <a:spLocks noChangeShapeType="1"/>
          </xdr:cNvSpPr>
        </xdr:nvSpPr>
        <xdr:spPr bwMode="auto">
          <a:xfrm flipV="1">
            <a:off x="458" y="150"/>
            <a:ext cx="0" cy="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" name="AutoShape 68"/>
          <xdr:cNvSpPr>
            <a:spLocks noChangeArrowheads="1"/>
          </xdr:cNvSpPr>
        </xdr:nvSpPr>
        <xdr:spPr bwMode="auto">
          <a:xfrm>
            <a:off x="431" y="359"/>
            <a:ext cx="24" cy="10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</xdr:sp>
      <xdr:sp macro="" textlink="">
        <xdr:nvSpPr>
          <xdr:cNvPr id="11284" name="AutoShape 69"/>
          <xdr:cNvSpPr>
            <a:spLocks noChangeArrowheads="1"/>
          </xdr:cNvSpPr>
        </xdr:nvSpPr>
        <xdr:spPr bwMode="auto">
          <a:xfrm>
            <a:off x="117" y="359"/>
            <a:ext cx="24" cy="10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</xdr:sp>
      <xdr:sp macro="" textlink="">
        <xdr:nvSpPr>
          <xdr:cNvPr id="11285" name="Line 37"/>
          <xdr:cNvSpPr>
            <a:spLocks noChangeShapeType="1"/>
          </xdr:cNvSpPr>
        </xdr:nvSpPr>
        <xdr:spPr bwMode="auto">
          <a:xfrm>
            <a:off x="56" y="319"/>
            <a:ext cx="5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6" name="Line 71"/>
          <xdr:cNvSpPr>
            <a:spLocks noChangeShapeType="1"/>
          </xdr:cNvSpPr>
        </xdr:nvSpPr>
        <xdr:spPr bwMode="auto">
          <a:xfrm>
            <a:off x="55" y="311"/>
            <a:ext cx="46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68" name="Rectangle 72" descr="右上がり対角線 (反転)"/>
          <xdr:cNvSpPr>
            <a:spLocks noChangeArrowheads="1"/>
          </xdr:cNvSpPr>
        </xdr:nvSpPr>
        <xdr:spPr bwMode="auto">
          <a:xfrm>
            <a:off x="316" y="254"/>
            <a:ext cx="79" cy="55"/>
          </a:xfrm>
          <a:prstGeom prst="rect">
            <a:avLst/>
          </a:prstGeom>
          <a:pattFill prst="dkUpDiag">
            <a:fgClr>
              <a:srgbClr xmlns:mc="http://schemas.openxmlformats.org/markup-compatibility/2006" xmlns:a14="http://schemas.microsoft.com/office/drawing/2010/main" val="99CC00" mc:Ignorable="a14" a14:legacySpreadsheetColorIndex="50"/>
            </a:fgClr>
            <a:bgClr>
              <a:srgbClr xmlns:mc="http://schemas.openxmlformats.org/markup-compatibility/2006" xmlns:a14="http://schemas.microsoft.com/office/drawing/2010/main" val="CCFFCC" mc:Ignorable="a14" a14:legacySpreadsheetColorIndex="42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8000"/>
                </a:solidFill>
                <a:latin typeface="ＭＳ Ｐ明朝"/>
                <a:ea typeface="ＭＳ Ｐ明朝"/>
              </a:rPr>
              <a:t>申請地Ⅰ</a:t>
            </a:r>
          </a:p>
        </xdr:txBody>
      </xdr:sp>
      <xdr:sp macro="" textlink="">
        <xdr:nvSpPr>
          <xdr:cNvPr id="11288" name="Freeform 75"/>
          <xdr:cNvSpPr>
            <a:spLocks/>
          </xdr:cNvSpPr>
        </xdr:nvSpPr>
        <xdr:spPr bwMode="auto">
          <a:xfrm>
            <a:off x="114" y="193"/>
            <a:ext cx="344" cy="118"/>
          </a:xfrm>
          <a:custGeom>
            <a:avLst/>
            <a:gdLst>
              <a:gd name="T0" fmla="*/ 0 w 344"/>
              <a:gd name="T1" fmla="*/ 118 h 118"/>
              <a:gd name="T2" fmla="*/ 62 w 344"/>
              <a:gd name="T3" fmla="*/ 1 h 118"/>
              <a:gd name="T4" fmla="*/ 205 w 344"/>
              <a:gd name="T5" fmla="*/ 0 h 118"/>
              <a:gd name="T6" fmla="*/ 296 w 344"/>
              <a:gd name="T7" fmla="*/ 7 h 118"/>
              <a:gd name="T8" fmla="*/ 344 w 344"/>
              <a:gd name="T9" fmla="*/ 118 h 118"/>
              <a:gd name="T10" fmla="*/ 0 w 344"/>
              <a:gd name="T11" fmla="*/ 118 h 1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344" h="118">
                <a:moveTo>
                  <a:pt x="0" y="118"/>
                </a:moveTo>
                <a:lnTo>
                  <a:pt x="62" y="1"/>
                </a:lnTo>
                <a:lnTo>
                  <a:pt x="205" y="0"/>
                </a:lnTo>
                <a:lnTo>
                  <a:pt x="296" y="7"/>
                </a:lnTo>
                <a:lnTo>
                  <a:pt x="344" y="118"/>
                </a:lnTo>
                <a:lnTo>
                  <a:pt x="0" y="118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9" name="Line 76"/>
          <xdr:cNvSpPr>
            <a:spLocks noChangeShapeType="1"/>
          </xdr:cNvSpPr>
        </xdr:nvSpPr>
        <xdr:spPr bwMode="auto">
          <a:xfrm flipV="1">
            <a:off x="113" y="151"/>
            <a:ext cx="0" cy="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0" name="Rectangle 33"/>
          <xdr:cNvSpPr>
            <a:spLocks noChangeArrowheads="1"/>
          </xdr:cNvSpPr>
        </xdr:nvSpPr>
        <xdr:spPr bwMode="auto">
          <a:xfrm>
            <a:off x="82" y="171"/>
            <a:ext cx="426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73" name="Text Box 77"/>
          <xdr:cNvSpPr txBox="1">
            <a:spLocks noChangeArrowheads="1"/>
          </xdr:cNvSpPr>
        </xdr:nvSpPr>
        <xdr:spPr bwMode="auto">
          <a:xfrm>
            <a:off x="168" y="206"/>
            <a:ext cx="13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道路区域外（法面）</a:t>
            </a:r>
          </a:p>
        </xdr:txBody>
      </xdr:sp>
      <xdr:sp macro="" textlink="">
        <xdr:nvSpPr>
          <xdr:cNvPr id="4174" name="Text Box 78"/>
          <xdr:cNvSpPr txBox="1">
            <a:spLocks noChangeArrowheads="1"/>
          </xdr:cNvSpPr>
        </xdr:nvSpPr>
        <xdr:spPr bwMode="auto">
          <a:xfrm>
            <a:off x="172" y="258"/>
            <a:ext cx="13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道路区域（法面）</a:t>
            </a:r>
          </a:p>
        </xdr:txBody>
      </xdr:sp>
      <xdr:sp macro="" textlink="">
        <xdr:nvSpPr>
          <xdr:cNvPr id="11293" name="AutoShape 79"/>
          <xdr:cNvSpPr>
            <a:spLocks noChangeArrowheads="1"/>
          </xdr:cNvSpPr>
        </xdr:nvSpPr>
        <xdr:spPr bwMode="auto">
          <a:xfrm>
            <a:off x="432" y="310"/>
            <a:ext cx="24" cy="10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</xdr:sp>
      <xdr:sp macro="" textlink="">
        <xdr:nvSpPr>
          <xdr:cNvPr id="11294" name="AutoShape 80"/>
          <xdr:cNvSpPr>
            <a:spLocks noChangeArrowheads="1"/>
          </xdr:cNvSpPr>
        </xdr:nvSpPr>
        <xdr:spPr bwMode="auto">
          <a:xfrm>
            <a:off x="116" y="310"/>
            <a:ext cx="24" cy="10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9525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</xdr:sp>
      <xdr:sp macro="" textlink="">
        <xdr:nvSpPr>
          <xdr:cNvPr id="4177" name="AutoShape 81"/>
          <xdr:cNvSpPr>
            <a:spLocks noChangeArrowheads="1"/>
          </xdr:cNvSpPr>
        </xdr:nvSpPr>
        <xdr:spPr bwMode="auto">
          <a:xfrm>
            <a:off x="164" y="283"/>
            <a:ext cx="106" cy="27"/>
          </a:xfrm>
          <a:prstGeom prst="wedgeRectCallout">
            <a:avLst>
              <a:gd name="adj1" fmla="val -28301"/>
              <a:gd name="adj2" fmla="val 90907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道路排水施設</a:t>
            </a:r>
          </a:p>
        </xdr:txBody>
      </xdr:sp>
      <xdr:sp macro="" textlink="">
        <xdr:nvSpPr>
          <xdr:cNvPr id="11296" name="Rectangle 55"/>
          <xdr:cNvSpPr>
            <a:spLocks noChangeArrowheads="1"/>
          </xdr:cNvSpPr>
        </xdr:nvSpPr>
        <xdr:spPr bwMode="auto">
          <a:xfrm>
            <a:off x="49" y="296"/>
            <a:ext cx="12" cy="1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97" name="AutoShape 83"/>
          <xdr:cNvSpPr>
            <a:spLocks noChangeArrowheads="1"/>
          </xdr:cNvSpPr>
        </xdr:nvSpPr>
        <xdr:spPr bwMode="auto">
          <a:xfrm rot="549951">
            <a:off x="124" y="183"/>
            <a:ext cx="19" cy="127"/>
          </a:xfrm>
          <a:prstGeom prst="downArrow">
            <a:avLst>
              <a:gd name="adj1" fmla="val 50000"/>
              <a:gd name="adj2" fmla="val 167105"/>
            </a:avLst>
          </a:pr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miter lim="800000"/>
            <a:headEnd/>
            <a:tailEnd/>
          </a:ln>
        </xdr:spPr>
      </xdr:sp>
      <xdr:sp macro="" textlink="">
        <xdr:nvSpPr>
          <xdr:cNvPr id="4180" name="Rectangle 84"/>
          <xdr:cNvSpPr>
            <a:spLocks noChangeArrowheads="1"/>
          </xdr:cNvSpPr>
        </xdr:nvSpPr>
        <xdr:spPr bwMode="auto">
          <a:xfrm>
            <a:off x="127" y="165"/>
            <a:ext cx="316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8000"/>
                </a:solidFill>
                <a:latin typeface="ＭＳ Ｐ明朝"/>
                <a:ea typeface="ＭＳ Ｐ明朝"/>
              </a:rPr>
              <a:t>地形的に想定される集水区域からの雨水流入</a:t>
            </a:r>
          </a:p>
        </xdr:txBody>
      </xdr:sp>
      <xdr:sp macro="" textlink="">
        <xdr:nvSpPr>
          <xdr:cNvPr id="4181" name="Text Box 85"/>
          <xdr:cNvSpPr txBox="1">
            <a:spLocks noChangeArrowheads="1"/>
          </xdr:cNvSpPr>
        </xdr:nvSpPr>
        <xdr:spPr bwMode="auto">
          <a:xfrm>
            <a:off x="245" y="406"/>
            <a:ext cx="98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田など</a:t>
            </a:r>
          </a:p>
        </xdr:txBody>
      </xdr:sp>
      <xdr:sp macro="" textlink="">
        <xdr:nvSpPr>
          <xdr:cNvPr id="11300" name="Rectangle 56"/>
          <xdr:cNvSpPr>
            <a:spLocks noChangeArrowheads="1"/>
          </xdr:cNvSpPr>
        </xdr:nvSpPr>
        <xdr:spPr bwMode="auto">
          <a:xfrm>
            <a:off x="510" y="306"/>
            <a:ext cx="10" cy="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200025</xdr:colOff>
      <xdr:row>61</xdr:row>
      <xdr:rowOff>57150</xdr:rowOff>
    </xdr:from>
    <xdr:to>
      <xdr:col>2</xdr:col>
      <xdr:colOff>104775</xdr:colOff>
      <xdr:row>62</xdr:row>
      <xdr:rowOff>0</xdr:rowOff>
    </xdr:to>
    <xdr:sp macro="" textlink="">
      <xdr:nvSpPr>
        <xdr:cNvPr id="5114" name="AutoShape 135"/>
        <xdr:cNvSpPr>
          <a:spLocks noChangeArrowheads="1"/>
        </xdr:cNvSpPr>
      </xdr:nvSpPr>
      <xdr:spPr bwMode="auto">
        <a:xfrm>
          <a:off x="514350" y="13477875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200025</xdr:colOff>
      <xdr:row>61</xdr:row>
      <xdr:rowOff>47625</xdr:rowOff>
    </xdr:from>
    <xdr:to>
      <xdr:col>13</xdr:col>
      <xdr:colOff>104775</xdr:colOff>
      <xdr:row>61</xdr:row>
      <xdr:rowOff>247650</xdr:rowOff>
    </xdr:to>
    <xdr:sp macro="" textlink="">
      <xdr:nvSpPr>
        <xdr:cNvPr id="5115" name="AutoShape 136"/>
        <xdr:cNvSpPr>
          <a:spLocks noChangeArrowheads="1"/>
        </xdr:cNvSpPr>
      </xdr:nvSpPr>
      <xdr:spPr bwMode="auto">
        <a:xfrm>
          <a:off x="3971925" y="13468350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38100</xdr:rowOff>
    </xdr:from>
    <xdr:to>
      <xdr:col>2</xdr:col>
      <xdr:colOff>104775</xdr:colOff>
      <xdr:row>37</xdr:row>
      <xdr:rowOff>238125</xdr:rowOff>
    </xdr:to>
    <xdr:sp macro="" textlink="">
      <xdr:nvSpPr>
        <xdr:cNvPr id="9259" name="AutoShape 1"/>
        <xdr:cNvSpPr>
          <a:spLocks noChangeArrowheads="1"/>
        </xdr:cNvSpPr>
      </xdr:nvSpPr>
      <xdr:spPr bwMode="auto">
        <a:xfrm>
          <a:off x="476250" y="8039100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200025</xdr:colOff>
      <xdr:row>37</xdr:row>
      <xdr:rowOff>38100</xdr:rowOff>
    </xdr:from>
    <xdr:to>
      <xdr:col>13</xdr:col>
      <xdr:colOff>123825</xdr:colOff>
      <xdr:row>37</xdr:row>
      <xdr:rowOff>238125</xdr:rowOff>
    </xdr:to>
    <xdr:sp macro="" textlink="">
      <xdr:nvSpPr>
        <xdr:cNvPr id="9260" name="AutoShape 2"/>
        <xdr:cNvSpPr>
          <a:spLocks noChangeArrowheads="1"/>
        </xdr:cNvSpPr>
      </xdr:nvSpPr>
      <xdr:spPr bwMode="auto">
        <a:xfrm>
          <a:off x="3743325" y="8039100"/>
          <a:ext cx="219075" cy="200025"/>
        </a:xfrm>
        <a:prstGeom prst="downArrow">
          <a:avLst>
            <a:gd name="adj1" fmla="val 3913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view="pageBreakPreview" zoomScaleNormal="100" zoomScaleSheetLayoutView="100" workbookViewId="0">
      <selection activeCell="T12" sqref="T12"/>
    </sheetView>
  </sheetViews>
  <sheetFormatPr defaultRowHeight="20.25" customHeight="1" x14ac:dyDescent="0.15"/>
  <cols>
    <col min="1" max="1" width="2.5" style="9" customWidth="1"/>
    <col min="2" max="2" width="7" style="9" customWidth="1"/>
    <col min="3" max="3" width="19.75" style="107" customWidth="1"/>
    <col min="4" max="4" width="9" style="9"/>
    <col min="5" max="5" width="6.25" style="9" bestFit="1" customWidth="1"/>
    <col min="6" max="6" width="24.125" style="12" bestFit="1" customWidth="1"/>
    <col min="7" max="7" width="2.375" style="9" customWidth="1"/>
    <col min="8" max="11" width="8.375" style="9" customWidth="1"/>
    <col min="12" max="14" width="10" style="9" customWidth="1"/>
    <col min="15" max="16384" width="9" style="9"/>
  </cols>
  <sheetData>
    <row r="1" spans="1:16" ht="24.75" customHeight="1" x14ac:dyDescent="0.15">
      <c r="A1" s="335" t="s">
        <v>122</v>
      </c>
      <c r="B1" s="335"/>
      <c r="C1" s="335"/>
      <c r="D1" s="335"/>
      <c r="E1" s="335"/>
      <c r="F1" s="335"/>
      <c r="I1" s="336" t="str">
        <f>IF(E8=1,"市街化区域及びDID地区",IF(E8=2,"その他区域（調整区域等）","-"))</f>
        <v>-</v>
      </c>
      <c r="J1" s="337"/>
      <c r="K1" s="337"/>
      <c r="L1" s="338"/>
      <c r="M1" s="333" t="s">
        <v>167</v>
      </c>
      <c r="N1" s="334"/>
    </row>
    <row r="2" spans="1:16" ht="14.25" customHeight="1" x14ac:dyDescent="0.15">
      <c r="A2" s="56"/>
      <c r="C2" s="104"/>
      <c r="D2" s="10"/>
      <c r="G2" s="76"/>
      <c r="P2" s="79" t="s">
        <v>429</v>
      </c>
    </row>
    <row r="3" spans="1:16" ht="20.25" customHeight="1" thickBot="1" x14ac:dyDescent="0.2">
      <c r="A3" s="57"/>
      <c r="B3" s="144" t="s">
        <v>140</v>
      </c>
      <c r="C3" s="144" t="s">
        <v>193</v>
      </c>
      <c r="D3" s="2"/>
      <c r="E3" s="55"/>
      <c r="F3" s="15"/>
      <c r="G3" s="11"/>
      <c r="H3" s="3" t="s">
        <v>96</v>
      </c>
      <c r="L3" s="3" t="s">
        <v>97</v>
      </c>
      <c r="P3" s="287" t="s">
        <v>427</v>
      </c>
    </row>
    <row r="4" spans="1:16" ht="20.25" customHeight="1" thickBot="1" x14ac:dyDescent="0.2">
      <c r="A4" s="57"/>
      <c r="B4" s="22"/>
      <c r="C4" s="105" t="s">
        <v>101</v>
      </c>
      <c r="D4" s="52"/>
      <c r="E4" s="344" t="s">
        <v>103</v>
      </c>
      <c r="F4" s="345"/>
      <c r="G4" s="11"/>
      <c r="H4" s="4"/>
      <c r="I4" s="84" t="s">
        <v>49</v>
      </c>
      <c r="J4" s="85" t="s">
        <v>50</v>
      </c>
      <c r="K4" s="80" t="s">
        <v>51</v>
      </c>
      <c r="L4" s="84" t="s">
        <v>84</v>
      </c>
      <c r="M4" s="103" t="s">
        <v>75</v>
      </c>
      <c r="P4" s="287" t="s">
        <v>428</v>
      </c>
    </row>
    <row r="5" spans="1:16" ht="20.25" customHeight="1" thickBot="1" x14ac:dyDescent="0.2">
      <c r="A5" s="57"/>
      <c r="B5" s="23"/>
      <c r="C5" s="105" t="s">
        <v>102</v>
      </c>
      <c r="D5" s="24"/>
      <c r="E5" s="344" t="s">
        <v>104</v>
      </c>
      <c r="F5" s="345"/>
      <c r="G5" s="11"/>
      <c r="H5" s="25" t="s">
        <v>44</v>
      </c>
      <c r="I5" s="87"/>
      <c r="J5" s="88"/>
      <c r="K5" s="93">
        <f>ROUND(I5*J5,2)</f>
        <v>0</v>
      </c>
      <c r="L5" s="96"/>
      <c r="M5" s="98">
        <f>ROUND(L5*J5,2)</f>
        <v>0</v>
      </c>
    </row>
    <row r="6" spans="1:16" ht="20.25" customHeight="1" x14ac:dyDescent="0.15">
      <c r="A6" s="2"/>
      <c r="B6" s="58"/>
      <c r="C6" s="106"/>
      <c r="D6" s="2"/>
      <c r="E6" s="55"/>
      <c r="F6" s="15"/>
      <c r="H6" s="26" t="s">
        <v>45</v>
      </c>
      <c r="I6" s="89"/>
      <c r="J6" s="90"/>
      <c r="K6" s="94">
        <f>ROUND(I6*J6,2)</f>
        <v>0</v>
      </c>
      <c r="L6" s="96"/>
      <c r="M6" s="99">
        <f>ROUND(L6*J6,2)</f>
        <v>0</v>
      </c>
    </row>
    <row r="7" spans="1:16" s="13" customFormat="1" ht="20.25" customHeight="1" thickBot="1" x14ac:dyDescent="0.2">
      <c r="A7" s="2"/>
      <c r="B7" s="18" t="s">
        <v>129</v>
      </c>
      <c r="C7" s="108"/>
      <c r="D7" s="59"/>
      <c r="E7" s="66"/>
      <c r="F7" s="14"/>
      <c r="G7" s="9"/>
      <c r="H7" s="27" t="s">
        <v>46</v>
      </c>
      <c r="I7" s="89"/>
      <c r="J7" s="90"/>
      <c r="K7" s="94">
        <f t="shared" ref="K7:K19" si="0">ROUND(I7*J7,2)</f>
        <v>0</v>
      </c>
      <c r="L7" s="96"/>
      <c r="M7" s="99">
        <f t="shared" ref="M7:M19" si="1">ROUND(L7*J7,2)</f>
        <v>0</v>
      </c>
      <c r="N7" s="9"/>
    </row>
    <row r="8" spans="1:16" ht="20.25" customHeight="1" thickBot="1" x14ac:dyDescent="0.2">
      <c r="A8" s="2"/>
      <c r="B8" s="62" t="s">
        <v>33</v>
      </c>
      <c r="C8" s="111" t="s">
        <v>34</v>
      </c>
      <c r="D8" s="165" t="str">
        <f>IF(E8=1,"市街化区域",IF(E8=2,"調整区域","1or2を入力→"))</f>
        <v>1or2を入力→</v>
      </c>
      <c r="E8" s="67"/>
      <c r="F8" s="21" t="s">
        <v>82</v>
      </c>
      <c r="H8" s="26" t="s">
        <v>47</v>
      </c>
      <c r="I8" s="89"/>
      <c r="J8" s="90"/>
      <c r="K8" s="94">
        <f t="shared" si="0"/>
        <v>0</v>
      </c>
      <c r="L8" s="96"/>
      <c r="M8" s="99">
        <f t="shared" si="1"/>
        <v>0</v>
      </c>
    </row>
    <row r="9" spans="1:16" ht="20.25" customHeight="1" thickBot="1" x14ac:dyDescent="0.2">
      <c r="A9" s="2"/>
      <c r="B9" s="68" t="s">
        <v>33</v>
      </c>
      <c r="C9" s="112" t="s">
        <v>26</v>
      </c>
      <c r="D9" s="64"/>
      <c r="E9" s="69" t="s">
        <v>109</v>
      </c>
      <c r="F9" s="19"/>
      <c r="H9" s="26" t="s">
        <v>48</v>
      </c>
      <c r="I9" s="89"/>
      <c r="J9" s="90"/>
      <c r="K9" s="94">
        <f t="shared" si="0"/>
        <v>0</v>
      </c>
      <c r="L9" s="96"/>
      <c r="M9" s="99">
        <f t="shared" si="1"/>
        <v>0</v>
      </c>
    </row>
    <row r="10" spans="1:16" ht="20.25" customHeight="1" thickBot="1" x14ac:dyDescent="0.2">
      <c r="A10" s="2"/>
      <c r="B10" s="63" t="s">
        <v>33</v>
      </c>
      <c r="C10" s="110" t="s">
        <v>42</v>
      </c>
      <c r="D10" s="70"/>
      <c r="E10" s="7" t="s">
        <v>110</v>
      </c>
      <c r="F10" s="152" t="s">
        <v>172</v>
      </c>
      <c r="H10" s="26" t="s">
        <v>52</v>
      </c>
      <c r="I10" s="89"/>
      <c r="J10" s="90"/>
      <c r="K10" s="94">
        <f t="shared" si="0"/>
        <v>0</v>
      </c>
      <c r="L10" s="96"/>
      <c r="M10" s="99">
        <f t="shared" si="1"/>
        <v>0</v>
      </c>
    </row>
    <row r="11" spans="1:16" ht="20.25" customHeight="1" x14ac:dyDescent="0.15">
      <c r="A11" s="2"/>
      <c r="B11" s="58"/>
      <c r="C11" s="106"/>
      <c r="D11" s="2"/>
      <c r="E11" s="55"/>
      <c r="F11" s="15"/>
      <c r="G11" s="13"/>
      <c r="H11" s="26" t="s">
        <v>53</v>
      </c>
      <c r="I11" s="89"/>
      <c r="J11" s="90"/>
      <c r="K11" s="94">
        <f t="shared" si="0"/>
        <v>0</v>
      </c>
      <c r="L11" s="96"/>
      <c r="M11" s="99">
        <f t="shared" si="1"/>
        <v>0</v>
      </c>
    </row>
    <row r="12" spans="1:16" ht="20.25" customHeight="1" x14ac:dyDescent="0.15">
      <c r="A12" s="2"/>
      <c r="B12" s="1" t="s">
        <v>133</v>
      </c>
      <c r="H12" s="26" t="s">
        <v>54</v>
      </c>
      <c r="I12" s="89"/>
      <c r="J12" s="90"/>
      <c r="K12" s="94">
        <f t="shared" si="0"/>
        <v>0</v>
      </c>
      <c r="L12" s="96"/>
      <c r="M12" s="99">
        <f t="shared" si="1"/>
        <v>0</v>
      </c>
    </row>
    <row r="13" spans="1:16" ht="20.25" customHeight="1" thickBot="1" x14ac:dyDescent="0.2">
      <c r="A13" s="2"/>
      <c r="B13" s="1" t="s">
        <v>130</v>
      </c>
      <c r="C13" s="113"/>
      <c r="D13" s="2"/>
      <c r="E13" s="283"/>
      <c r="F13" s="15"/>
      <c r="H13" s="26" t="s">
        <v>55</v>
      </c>
      <c r="I13" s="89"/>
      <c r="J13" s="90"/>
      <c r="K13" s="94">
        <f t="shared" si="0"/>
        <v>0</v>
      </c>
      <c r="L13" s="96"/>
      <c r="M13" s="99">
        <f t="shared" si="1"/>
        <v>0</v>
      </c>
    </row>
    <row r="14" spans="1:16" ht="20.25" customHeight="1" thickBot="1" x14ac:dyDescent="0.2">
      <c r="A14" s="2"/>
      <c r="B14" s="62" t="s">
        <v>33</v>
      </c>
      <c r="C14" s="109" t="s">
        <v>154</v>
      </c>
      <c r="D14" s="64"/>
      <c r="E14" s="61" t="s">
        <v>107</v>
      </c>
      <c r="F14" s="339" t="s">
        <v>414</v>
      </c>
      <c r="H14" s="26" t="s">
        <v>56</v>
      </c>
      <c r="I14" s="89"/>
      <c r="J14" s="90"/>
      <c r="K14" s="94">
        <f t="shared" si="0"/>
        <v>0</v>
      </c>
      <c r="L14" s="96"/>
      <c r="M14" s="99">
        <f t="shared" si="1"/>
        <v>0</v>
      </c>
    </row>
    <row r="15" spans="1:16" ht="20.25" customHeight="1" thickBot="1" x14ac:dyDescent="0.2">
      <c r="A15" s="2"/>
      <c r="B15" s="63" t="s">
        <v>33</v>
      </c>
      <c r="C15" s="110" t="s">
        <v>155</v>
      </c>
      <c r="D15" s="64"/>
      <c r="E15" s="7" t="s">
        <v>108</v>
      </c>
      <c r="F15" s="340"/>
      <c r="H15" s="26" t="s">
        <v>85</v>
      </c>
      <c r="I15" s="89"/>
      <c r="J15" s="90"/>
      <c r="K15" s="94">
        <f t="shared" si="0"/>
        <v>0</v>
      </c>
      <c r="L15" s="96"/>
      <c r="M15" s="99">
        <f t="shared" si="1"/>
        <v>0</v>
      </c>
    </row>
    <row r="16" spans="1:16" ht="20.25" customHeight="1" x14ac:dyDescent="0.15">
      <c r="B16" s="53"/>
      <c r="C16" s="53"/>
      <c r="D16" s="53"/>
      <c r="E16" s="286"/>
      <c r="F16" s="341"/>
      <c r="H16" s="26" t="s">
        <v>86</v>
      </c>
      <c r="I16" s="89"/>
      <c r="J16" s="90"/>
      <c r="K16" s="94">
        <f t="shared" si="0"/>
        <v>0</v>
      </c>
      <c r="L16" s="96"/>
      <c r="M16" s="99">
        <f t="shared" si="1"/>
        <v>0</v>
      </c>
    </row>
    <row r="17" spans="1:14" ht="20.25" customHeight="1" x14ac:dyDescent="0.15">
      <c r="B17" s="65"/>
      <c r="C17" s="114"/>
      <c r="D17" s="135"/>
      <c r="E17" s="136"/>
      <c r="F17" s="137"/>
      <c r="H17" s="26" t="s">
        <v>87</v>
      </c>
      <c r="I17" s="89"/>
      <c r="J17" s="90"/>
      <c r="K17" s="94">
        <f t="shared" si="0"/>
        <v>0</v>
      </c>
      <c r="L17" s="96"/>
      <c r="M17" s="99">
        <f t="shared" si="1"/>
        <v>0</v>
      </c>
    </row>
    <row r="18" spans="1:14" ht="20.25" customHeight="1" thickBot="1" x14ac:dyDescent="0.2">
      <c r="B18" s="18" t="s">
        <v>132</v>
      </c>
      <c r="H18" s="26" t="s">
        <v>88</v>
      </c>
      <c r="I18" s="89"/>
      <c r="J18" s="90"/>
      <c r="K18" s="94">
        <f t="shared" si="0"/>
        <v>0</v>
      </c>
      <c r="L18" s="96"/>
      <c r="M18" s="99">
        <f t="shared" si="1"/>
        <v>0</v>
      </c>
    </row>
    <row r="19" spans="1:14" ht="20.25" customHeight="1" thickBot="1" x14ac:dyDescent="0.2">
      <c r="B19" s="62" t="s">
        <v>33</v>
      </c>
      <c r="C19" s="131" t="s">
        <v>25</v>
      </c>
      <c r="D19" s="153"/>
      <c r="E19" s="128" t="s">
        <v>28</v>
      </c>
      <c r="F19" s="132"/>
      <c r="H19" s="28" t="s">
        <v>89</v>
      </c>
      <c r="I19" s="91"/>
      <c r="J19" s="92"/>
      <c r="K19" s="95">
        <f t="shared" si="0"/>
        <v>0</v>
      </c>
      <c r="L19" s="97"/>
      <c r="M19" s="100">
        <f t="shared" si="1"/>
        <v>0</v>
      </c>
    </row>
    <row r="20" spans="1:14" ht="20.25" customHeight="1" thickTop="1" thickBot="1" x14ac:dyDescent="0.2">
      <c r="A20" s="13"/>
      <c r="B20" s="68" t="s">
        <v>33</v>
      </c>
      <c r="C20" s="112" t="s">
        <v>60</v>
      </c>
      <c r="D20" s="72">
        <f>IF(K20&gt;0,K22,D14*D15/2)</f>
        <v>0</v>
      </c>
      <c r="E20" s="8" t="s">
        <v>111</v>
      </c>
      <c r="F20" s="19" t="s">
        <v>59</v>
      </c>
      <c r="H20" s="29" t="s">
        <v>19</v>
      </c>
      <c r="I20" s="86" t="s">
        <v>93</v>
      </c>
      <c r="J20" s="145">
        <f>ROUND(SUM(J5:J19),2)</f>
        <v>0</v>
      </c>
      <c r="K20" s="30">
        <f>SUM(K5:K19)</f>
        <v>0</v>
      </c>
      <c r="L20" s="86" t="s">
        <v>93</v>
      </c>
      <c r="M20" s="101">
        <f>SUM(M5:M19)</f>
        <v>0</v>
      </c>
    </row>
    <row r="21" spans="1:14" ht="20.25" customHeight="1" thickBot="1" x14ac:dyDescent="0.2">
      <c r="B21" s="6" t="s">
        <v>40</v>
      </c>
      <c r="C21" s="112" t="s">
        <v>77</v>
      </c>
      <c r="D21" s="120"/>
      <c r="E21" s="8" t="s">
        <v>111</v>
      </c>
      <c r="F21" s="19" t="s">
        <v>57</v>
      </c>
      <c r="H21" s="4" t="s">
        <v>90</v>
      </c>
      <c r="I21" s="146" t="e">
        <f>ROUND(AVERAGE(I5:I19),2)</f>
        <v>#DIV/0!</v>
      </c>
      <c r="J21" s="293" t="s">
        <v>94</v>
      </c>
      <c r="K21" s="294"/>
      <c r="L21" s="254" t="e">
        <f>ROUND(M20/J20,2)</f>
        <v>#DIV/0!</v>
      </c>
      <c r="M21" s="102" t="s">
        <v>76</v>
      </c>
    </row>
    <row r="22" spans="1:14" ht="20.25" customHeight="1" thickBot="1" x14ac:dyDescent="0.2">
      <c r="B22" s="6" t="s">
        <v>40</v>
      </c>
      <c r="C22" s="112" t="s">
        <v>78</v>
      </c>
      <c r="D22" s="120"/>
      <c r="E22" s="8" t="s">
        <v>111</v>
      </c>
      <c r="F22" s="19" t="s">
        <v>58</v>
      </c>
      <c r="H22" s="31" t="s">
        <v>91</v>
      </c>
      <c r="I22" s="295" t="s">
        <v>93</v>
      </c>
      <c r="J22" s="296"/>
      <c r="K22" s="32">
        <f>ROUND(K20/2,2)</f>
        <v>0</v>
      </c>
      <c r="L22" s="346" t="s">
        <v>93</v>
      </c>
      <c r="M22" s="307"/>
    </row>
    <row r="23" spans="1:14" ht="20.25" customHeight="1" thickBot="1" x14ac:dyDescent="0.2">
      <c r="B23" s="5" t="s">
        <v>40</v>
      </c>
      <c r="C23" s="110" t="s">
        <v>80</v>
      </c>
      <c r="D23" s="120"/>
      <c r="E23" s="7" t="s">
        <v>112</v>
      </c>
      <c r="F23" s="20"/>
      <c r="H23" s="53"/>
      <c r="I23" s="284" t="s">
        <v>156</v>
      </c>
      <c r="J23" s="54"/>
      <c r="K23" s="54"/>
      <c r="L23" s="53"/>
      <c r="M23" s="53"/>
    </row>
    <row r="24" spans="1:14" ht="13.5" x14ac:dyDescent="0.15">
      <c r="B24" s="65"/>
      <c r="C24" s="114"/>
      <c r="D24" s="134"/>
      <c r="E24" s="53"/>
      <c r="F24" s="15"/>
      <c r="H24" s="53"/>
      <c r="I24" s="147" t="s">
        <v>404</v>
      </c>
      <c r="J24" s="54"/>
      <c r="K24" s="54"/>
      <c r="L24" s="53"/>
      <c r="M24" s="53"/>
    </row>
    <row r="25" spans="1:14" ht="20.25" customHeight="1" thickBot="1" x14ac:dyDescent="0.2">
      <c r="B25" s="18" t="s">
        <v>131</v>
      </c>
      <c r="C25" s="108"/>
      <c r="D25" s="60"/>
      <c r="E25" s="71"/>
      <c r="F25" s="14"/>
      <c r="H25" s="3" t="s">
        <v>98</v>
      </c>
      <c r="I25" s="16"/>
      <c r="J25" s="16"/>
      <c r="K25" s="16"/>
    </row>
    <row r="26" spans="1:14" ht="20.25" customHeight="1" thickBot="1" x14ac:dyDescent="0.2">
      <c r="B26" s="73" t="s">
        <v>41</v>
      </c>
      <c r="C26" s="115" t="s">
        <v>32</v>
      </c>
      <c r="D26" s="119">
        <v>0.6</v>
      </c>
      <c r="E26" s="61" t="s">
        <v>113</v>
      </c>
      <c r="F26" s="82" t="s">
        <v>81</v>
      </c>
      <c r="H26" s="349" t="s">
        <v>43</v>
      </c>
      <c r="I26" s="350"/>
      <c r="J26" s="350"/>
      <c r="K26" s="351"/>
      <c r="L26" s="81" t="s">
        <v>7</v>
      </c>
      <c r="M26" s="34" t="s">
        <v>8</v>
      </c>
      <c r="N26" s="35"/>
    </row>
    <row r="27" spans="1:14" ht="20.25" customHeight="1" thickBot="1" x14ac:dyDescent="0.2">
      <c r="B27" s="6" t="s">
        <v>40</v>
      </c>
      <c r="C27" s="112" t="s">
        <v>25</v>
      </c>
      <c r="D27" s="120"/>
      <c r="E27" s="8" t="s">
        <v>114</v>
      </c>
      <c r="F27" s="83" t="s">
        <v>330</v>
      </c>
      <c r="H27" s="352"/>
      <c r="I27" s="353"/>
      <c r="J27" s="353"/>
      <c r="K27" s="354"/>
      <c r="L27" s="48" t="s">
        <v>70</v>
      </c>
      <c r="M27" s="37" t="s">
        <v>71</v>
      </c>
      <c r="N27" s="36" t="s">
        <v>72</v>
      </c>
    </row>
    <row r="28" spans="1:14" ht="20.25" customHeight="1" x14ac:dyDescent="0.15">
      <c r="B28" s="68" t="s">
        <v>33</v>
      </c>
      <c r="C28" s="116" t="s">
        <v>61</v>
      </c>
      <c r="D28" s="121">
        <v>0.9</v>
      </c>
      <c r="E28" s="33" t="s">
        <v>115</v>
      </c>
      <c r="F28" s="19"/>
      <c r="H28" s="347" t="s">
        <v>415</v>
      </c>
      <c r="I28" s="348"/>
      <c r="J28" s="348" t="s">
        <v>68</v>
      </c>
      <c r="K28" s="355"/>
      <c r="L28" s="49">
        <v>0.9</v>
      </c>
      <c r="M28" s="38"/>
      <c r="N28" s="42">
        <f t="shared" ref="N28:N46" si="2">ROUND(L28*M28,0)</f>
        <v>0</v>
      </c>
    </row>
    <row r="29" spans="1:14" ht="20.25" customHeight="1" x14ac:dyDescent="0.15">
      <c r="B29" s="6" t="s">
        <v>40</v>
      </c>
      <c r="C29" s="116" t="s">
        <v>77</v>
      </c>
      <c r="D29" s="122">
        <v>0.6</v>
      </c>
      <c r="E29" s="33" t="s">
        <v>115</v>
      </c>
      <c r="F29" s="19"/>
      <c r="H29" s="324"/>
      <c r="I29" s="303"/>
      <c r="J29" s="303" t="s">
        <v>69</v>
      </c>
      <c r="K29" s="304"/>
      <c r="L29" s="50">
        <v>0.6</v>
      </c>
      <c r="M29" s="39"/>
      <c r="N29" s="43">
        <f t="shared" si="2"/>
        <v>0</v>
      </c>
    </row>
    <row r="30" spans="1:14" ht="20.25" customHeight="1" thickBot="1" x14ac:dyDescent="0.2">
      <c r="B30" s="6" t="s">
        <v>40</v>
      </c>
      <c r="C30" s="116" t="s">
        <v>78</v>
      </c>
      <c r="D30" s="123">
        <v>0.8</v>
      </c>
      <c r="E30" s="33" t="s">
        <v>115</v>
      </c>
      <c r="F30" s="19"/>
      <c r="H30" s="324" t="s">
        <v>20</v>
      </c>
      <c r="I30" s="303"/>
      <c r="J30" s="303" t="s">
        <v>21</v>
      </c>
      <c r="K30" s="304"/>
      <c r="L30" s="50">
        <v>0.6</v>
      </c>
      <c r="M30" s="39"/>
      <c r="N30" s="43">
        <f t="shared" si="2"/>
        <v>0</v>
      </c>
    </row>
    <row r="31" spans="1:14" ht="20.25" customHeight="1" x14ac:dyDescent="0.15">
      <c r="B31" s="325" t="s">
        <v>40</v>
      </c>
      <c r="C31" s="327" t="s">
        <v>62</v>
      </c>
      <c r="D31" s="329"/>
      <c r="E31" s="331" t="s">
        <v>116</v>
      </c>
      <c r="F31" s="342" t="s">
        <v>99</v>
      </c>
      <c r="H31" s="324"/>
      <c r="I31" s="303"/>
      <c r="J31" s="303" t="s">
        <v>22</v>
      </c>
      <c r="K31" s="304"/>
      <c r="L31" s="50">
        <v>0.8</v>
      </c>
      <c r="M31" s="39"/>
      <c r="N31" s="43">
        <f t="shared" si="2"/>
        <v>0</v>
      </c>
    </row>
    <row r="32" spans="1:14" ht="20.25" customHeight="1" thickBot="1" x14ac:dyDescent="0.2">
      <c r="B32" s="326"/>
      <c r="C32" s="328"/>
      <c r="D32" s="330"/>
      <c r="E32" s="332"/>
      <c r="F32" s="343"/>
      <c r="H32" s="324" t="s">
        <v>27</v>
      </c>
      <c r="I32" s="303"/>
      <c r="J32" s="303" t="s">
        <v>9</v>
      </c>
      <c r="K32" s="304"/>
      <c r="L32" s="50">
        <v>0.6</v>
      </c>
      <c r="M32" s="39"/>
      <c r="N32" s="43">
        <f>ROUND(L32*M32,0)</f>
        <v>0</v>
      </c>
    </row>
    <row r="33" spans="1:14" ht="20.25" customHeight="1" x14ac:dyDescent="0.15">
      <c r="A33" s="13"/>
      <c r="B33" s="65"/>
      <c r="C33" s="140"/>
      <c r="D33" s="141"/>
      <c r="E33" s="136"/>
      <c r="F33" s="142"/>
      <c r="H33" s="324"/>
      <c r="I33" s="303"/>
      <c r="J33" s="303" t="s">
        <v>10</v>
      </c>
      <c r="K33" s="304"/>
      <c r="L33" s="50">
        <v>0.8</v>
      </c>
      <c r="M33" s="39"/>
      <c r="N33" s="43">
        <f t="shared" si="2"/>
        <v>0</v>
      </c>
    </row>
    <row r="34" spans="1:14" ht="20.25" customHeight="1" thickBot="1" x14ac:dyDescent="0.2">
      <c r="B34" s="18" t="s">
        <v>134</v>
      </c>
      <c r="C34" s="108"/>
      <c r="D34" s="60"/>
      <c r="E34" s="71"/>
      <c r="F34" s="14"/>
      <c r="H34" s="324" t="s">
        <v>63</v>
      </c>
      <c r="I34" s="303"/>
      <c r="J34" s="303" t="s">
        <v>11</v>
      </c>
      <c r="K34" s="304"/>
      <c r="L34" s="50">
        <v>0.1</v>
      </c>
      <c r="M34" s="39"/>
      <c r="N34" s="43">
        <f t="shared" si="2"/>
        <v>0</v>
      </c>
    </row>
    <row r="35" spans="1:14" ht="20.25" customHeight="1" thickBot="1" x14ac:dyDescent="0.2">
      <c r="B35" s="62" t="s">
        <v>33</v>
      </c>
      <c r="C35" s="115" t="s">
        <v>73</v>
      </c>
      <c r="D35" s="118"/>
      <c r="E35" s="61" t="s">
        <v>74</v>
      </c>
      <c r="F35" s="77"/>
      <c r="H35" s="324"/>
      <c r="I35" s="303"/>
      <c r="J35" s="303" t="s">
        <v>12</v>
      </c>
      <c r="K35" s="304"/>
      <c r="L35" s="50">
        <v>0.15</v>
      </c>
      <c r="M35" s="39"/>
      <c r="N35" s="43">
        <f t="shared" si="2"/>
        <v>0</v>
      </c>
    </row>
    <row r="36" spans="1:14" ht="20.25" customHeight="1" thickBot="1" x14ac:dyDescent="0.2">
      <c r="B36" s="255" t="s">
        <v>33</v>
      </c>
      <c r="C36" s="256" t="s">
        <v>405</v>
      </c>
      <c r="D36" s="257" t="str">
        <f>IF(E36=1,"機能あり",IF(E36=2,"機能なし","1or2を入力→"))</f>
        <v>1or2を入力→</v>
      </c>
      <c r="E36" s="67"/>
      <c r="F36" s="259" t="s">
        <v>406</v>
      </c>
      <c r="H36" s="324"/>
      <c r="I36" s="303"/>
      <c r="J36" s="303" t="s">
        <v>13</v>
      </c>
      <c r="K36" s="304"/>
      <c r="L36" s="50">
        <v>0.2</v>
      </c>
      <c r="M36" s="39"/>
      <c r="N36" s="43">
        <f t="shared" si="2"/>
        <v>0</v>
      </c>
    </row>
    <row r="37" spans="1:14" ht="20.25" customHeight="1" x14ac:dyDescent="0.15">
      <c r="B37" s="63" t="s">
        <v>33</v>
      </c>
      <c r="C37" s="117" t="s">
        <v>24</v>
      </c>
      <c r="D37" s="258">
        <f>0.2*D35</f>
        <v>0</v>
      </c>
      <c r="E37" s="74" t="s">
        <v>117</v>
      </c>
      <c r="F37" s="78" t="s">
        <v>146</v>
      </c>
      <c r="H37" s="324" t="s">
        <v>64</v>
      </c>
      <c r="I37" s="303"/>
      <c r="J37" s="303" t="s">
        <v>11</v>
      </c>
      <c r="K37" s="304"/>
      <c r="L37" s="50">
        <v>0.15</v>
      </c>
      <c r="M37" s="39"/>
      <c r="N37" s="43">
        <f t="shared" si="2"/>
        <v>0</v>
      </c>
    </row>
    <row r="38" spans="1:14" ht="20.25" customHeight="1" x14ac:dyDescent="0.15">
      <c r="B38" s="75"/>
      <c r="C38" s="113"/>
      <c r="D38" s="60"/>
      <c r="E38" s="60"/>
      <c r="F38" s="15"/>
      <c r="H38" s="324"/>
      <c r="I38" s="303"/>
      <c r="J38" s="303" t="s">
        <v>12</v>
      </c>
      <c r="K38" s="304"/>
      <c r="L38" s="50">
        <v>0.2</v>
      </c>
      <c r="M38" s="39"/>
      <c r="N38" s="43">
        <f t="shared" si="2"/>
        <v>0</v>
      </c>
    </row>
    <row r="39" spans="1:14" ht="20.25" customHeight="1" x14ac:dyDescent="0.15">
      <c r="B39" s="9" t="s">
        <v>135</v>
      </c>
      <c r="H39" s="324"/>
      <c r="I39" s="303"/>
      <c r="J39" s="303" t="s">
        <v>13</v>
      </c>
      <c r="K39" s="304"/>
      <c r="L39" s="50">
        <v>0.3</v>
      </c>
      <c r="M39" s="39"/>
      <c r="N39" s="43">
        <f t="shared" si="2"/>
        <v>0</v>
      </c>
    </row>
    <row r="40" spans="1:14" ht="20.25" customHeight="1" thickBot="1" x14ac:dyDescent="0.2">
      <c r="B40" s="18" t="s">
        <v>136</v>
      </c>
      <c r="C40" s="108"/>
      <c r="D40" s="59"/>
      <c r="E40" s="66"/>
      <c r="F40" s="143" t="s">
        <v>139</v>
      </c>
      <c r="H40" s="297" t="s">
        <v>14</v>
      </c>
      <c r="I40" s="298"/>
      <c r="J40" s="298"/>
      <c r="K40" s="299"/>
      <c r="L40" s="50">
        <v>0.9</v>
      </c>
      <c r="M40" s="39"/>
      <c r="N40" s="43">
        <f t="shared" si="2"/>
        <v>0</v>
      </c>
    </row>
    <row r="41" spans="1:14" ht="20.25" customHeight="1" thickBot="1" x14ac:dyDescent="0.2">
      <c r="B41" s="62" t="s">
        <v>33</v>
      </c>
      <c r="C41" s="111" t="s">
        <v>79</v>
      </c>
      <c r="D41" s="165" t="str">
        <f>IF(E41=1,"側溝",IF(E41=2,"管渠","1or2を入力→"))</f>
        <v>1or2を入力→</v>
      </c>
      <c r="E41" s="67"/>
      <c r="F41" s="21" t="s">
        <v>83</v>
      </c>
      <c r="G41" s="2"/>
      <c r="H41" s="297" t="s">
        <v>65</v>
      </c>
      <c r="I41" s="298"/>
      <c r="J41" s="298"/>
      <c r="K41" s="299"/>
      <c r="L41" s="50">
        <v>0.3</v>
      </c>
      <c r="M41" s="39"/>
      <c r="N41" s="43">
        <f t="shared" si="2"/>
        <v>0</v>
      </c>
    </row>
    <row r="42" spans="1:14" ht="20.25" customHeight="1" thickBot="1" x14ac:dyDescent="0.2">
      <c r="B42" s="68" t="s">
        <v>33</v>
      </c>
      <c r="C42" s="112" t="s">
        <v>35</v>
      </c>
      <c r="D42" s="265"/>
      <c r="E42" s="69" t="s">
        <v>118</v>
      </c>
      <c r="F42" s="19" t="s">
        <v>105</v>
      </c>
      <c r="G42" s="2"/>
      <c r="H42" s="297" t="s">
        <v>66</v>
      </c>
      <c r="I42" s="298"/>
      <c r="J42" s="298"/>
      <c r="K42" s="299"/>
      <c r="L42" s="50">
        <v>0.2</v>
      </c>
      <c r="M42" s="39"/>
      <c r="N42" s="43">
        <f t="shared" si="2"/>
        <v>0</v>
      </c>
    </row>
    <row r="43" spans="1:14" ht="20.25" customHeight="1" thickBot="1" x14ac:dyDescent="0.2">
      <c r="B43" s="68" t="s">
        <v>33</v>
      </c>
      <c r="C43" s="112" t="s">
        <v>36</v>
      </c>
      <c r="D43" s="265"/>
      <c r="E43" s="8" t="s">
        <v>118</v>
      </c>
      <c r="F43" s="19" t="s">
        <v>105</v>
      </c>
      <c r="G43" s="2"/>
      <c r="H43" s="297" t="s">
        <v>15</v>
      </c>
      <c r="I43" s="298"/>
      <c r="J43" s="298"/>
      <c r="K43" s="299"/>
      <c r="L43" s="50">
        <v>0.3</v>
      </c>
      <c r="M43" s="39"/>
      <c r="N43" s="43">
        <f t="shared" si="2"/>
        <v>0</v>
      </c>
    </row>
    <row r="44" spans="1:14" ht="20.25" customHeight="1" thickBot="1" x14ac:dyDescent="0.2">
      <c r="B44" s="68" t="s">
        <v>33</v>
      </c>
      <c r="C44" s="112" t="s">
        <v>37</v>
      </c>
      <c r="D44" s="265"/>
      <c r="E44" s="8" t="s">
        <v>119</v>
      </c>
      <c r="F44" s="19" t="s">
        <v>106</v>
      </c>
      <c r="G44" s="2"/>
      <c r="H44" s="297" t="s">
        <v>16</v>
      </c>
      <c r="I44" s="298"/>
      <c r="J44" s="298"/>
      <c r="K44" s="299"/>
      <c r="L44" s="50">
        <v>0.5</v>
      </c>
      <c r="M44" s="39"/>
      <c r="N44" s="43">
        <f t="shared" si="2"/>
        <v>0</v>
      </c>
    </row>
    <row r="45" spans="1:14" ht="20.25" customHeight="1" x14ac:dyDescent="0.15">
      <c r="B45" s="316" t="s">
        <v>33</v>
      </c>
      <c r="C45" s="318" t="s">
        <v>38</v>
      </c>
      <c r="D45" s="322"/>
      <c r="E45" s="308" t="s">
        <v>123</v>
      </c>
      <c r="F45" s="310" t="s">
        <v>121</v>
      </c>
      <c r="G45" s="2"/>
      <c r="H45" s="297" t="s">
        <v>17</v>
      </c>
      <c r="I45" s="298"/>
      <c r="J45" s="298"/>
      <c r="K45" s="299"/>
      <c r="L45" s="50">
        <v>0.8</v>
      </c>
      <c r="M45" s="39"/>
      <c r="N45" s="43">
        <f t="shared" si="2"/>
        <v>0</v>
      </c>
    </row>
    <row r="46" spans="1:14" ht="20.25" customHeight="1" thickBot="1" x14ac:dyDescent="0.2">
      <c r="B46" s="317"/>
      <c r="C46" s="319"/>
      <c r="D46" s="323"/>
      <c r="E46" s="309"/>
      <c r="F46" s="311"/>
      <c r="G46" s="2"/>
      <c r="H46" s="300" t="s">
        <v>67</v>
      </c>
      <c r="I46" s="301"/>
      <c r="J46" s="301"/>
      <c r="K46" s="302"/>
      <c r="L46" s="51">
        <v>0.2</v>
      </c>
      <c r="M46" s="40"/>
      <c r="N46" s="44">
        <f t="shared" si="2"/>
        <v>0</v>
      </c>
    </row>
    <row r="47" spans="1:14" ht="20.25" customHeight="1" x14ac:dyDescent="0.15">
      <c r="B47" s="316" t="s">
        <v>33</v>
      </c>
      <c r="C47" s="318" t="s">
        <v>39</v>
      </c>
      <c r="D47" s="312"/>
      <c r="E47" s="308" t="s">
        <v>120</v>
      </c>
      <c r="F47" s="310" t="s">
        <v>100</v>
      </c>
      <c r="G47" s="2"/>
      <c r="H47" s="305" t="s">
        <v>19</v>
      </c>
      <c r="I47" s="306"/>
      <c r="J47" s="306"/>
      <c r="K47" s="307"/>
      <c r="L47" s="47" t="s">
        <v>92</v>
      </c>
      <c r="M47" s="41">
        <f>SUM(M28:M46)</f>
        <v>0</v>
      </c>
      <c r="N47" s="46">
        <f>SUM(N28:N46)</f>
        <v>0</v>
      </c>
    </row>
    <row r="48" spans="1:14" ht="20.25" customHeight="1" thickBot="1" x14ac:dyDescent="0.2">
      <c r="B48" s="320"/>
      <c r="C48" s="321"/>
      <c r="D48" s="313"/>
      <c r="E48" s="314"/>
      <c r="F48" s="315"/>
      <c r="G48" s="2"/>
      <c r="H48" s="288" t="s">
        <v>18</v>
      </c>
      <c r="I48" s="289"/>
      <c r="J48" s="289"/>
      <c r="K48" s="290"/>
      <c r="L48" s="150" t="e">
        <f>ROUNDUP(N47/M47,3)</f>
        <v>#DIV/0!</v>
      </c>
      <c r="M48" s="291" t="s">
        <v>95</v>
      </c>
      <c r="N48" s="292"/>
    </row>
    <row r="49" spans="1:14" ht="20.25" customHeight="1" x14ac:dyDescent="0.15">
      <c r="A49" s="285"/>
      <c r="B49" s="285"/>
      <c r="C49" s="285"/>
      <c r="D49" s="285"/>
      <c r="E49" s="285"/>
      <c r="F49" s="285"/>
      <c r="G49" s="2"/>
      <c r="N49" s="133" t="s">
        <v>163</v>
      </c>
    </row>
    <row r="50" spans="1:14" ht="20.25" customHeight="1" x14ac:dyDescent="0.15">
      <c r="B50" s="1" t="s">
        <v>137</v>
      </c>
      <c r="D50" s="124"/>
      <c r="G50" s="2"/>
    </row>
    <row r="51" spans="1:14" ht="20.25" customHeight="1" x14ac:dyDescent="0.15">
      <c r="B51" s="62" t="s">
        <v>33</v>
      </c>
      <c r="C51" s="155" t="s">
        <v>398</v>
      </c>
      <c r="D51" s="261">
        <f>IF(E41=1,ROUND(D42*D43,2),ROUND((D44/2)^2*PI(),3))</f>
        <v>0</v>
      </c>
      <c r="E51" s="156" t="s">
        <v>224</v>
      </c>
      <c r="F51" s="157" t="str">
        <f>IF(E41=1,"側溝　幅*高さ",IF(E41=2,"管渠　π*（直径/2）^2","-"))</f>
        <v>-</v>
      </c>
      <c r="G51" s="2"/>
    </row>
    <row r="52" spans="1:14" ht="20.25" customHeight="1" x14ac:dyDescent="0.15">
      <c r="B52" s="68" t="s">
        <v>33</v>
      </c>
      <c r="C52" s="116" t="s">
        <v>399</v>
      </c>
      <c r="D52" s="262" t="e">
        <f>ROUND(J53*J54*J56,5)</f>
        <v>#DIV/0!</v>
      </c>
      <c r="E52" s="33" t="s">
        <v>225</v>
      </c>
      <c r="F52" s="158" t="s">
        <v>226</v>
      </c>
    </row>
    <row r="53" spans="1:14" ht="20.25" customHeight="1" x14ac:dyDescent="0.15">
      <c r="B53" s="68" t="s">
        <v>33</v>
      </c>
      <c r="C53" s="116" t="s">
        <v>400</v>
      </c>
      <c r="D53" s="159">
        <f>D45</f>
        <v>0</v>
      </c>
      <c r="E53" s="33" t="s">
        <v>227</v>
      </c>
      <c r="F53" s="158"/>
      <c r="H53" s="138" t="s">
        <v>124</v>
      </c>
      <c r="I53" s="127" t="s">
        <v>125</v>
      </c>
      <c r="J53" s="263" t="e">
        <f>ROUND(1/D53,3)</f>
        <v>#DIV/0!</v>
      </c>
    </row>
    <row r="54" spans="1:14" ht="20.25" customHeight="1" x14ac:dyDescent="0.15">
      <c r="B54" s="68" t="s">
        <v>33</v>
      </c>
      <c r="C54" s="116" t="s">
        <v>401</v>
      </c>
      <c r="D54" s="160" t="e">
        <f>ROUND(D51/D55,2)</f>
        <v>#DIV/0!</v>
      </c>
      <c r="E54" s="33" t="s">
        <v>228</v>
      </c>
      <c r="F54" s="19"/>
      <c r="H54" s="138" t="s">
        <v>124</v>
      </c>
      <c r="I54" s="127" t="s">
        <v>126</v>
      </c>
      <c r="J54" s="264" t="e">
        <f>ROUND(D54^(2/3),5)</f>
        <v>#DIV/0!</v>
      </c>
      <c r="K54" s="2"/>
    </row>
    <row r="55" spans="1:14" ht="20.25" customHeight="1" x14ac:dyDescent="0.15">
      <c r="B55" s="68" t="s">
        <v>33</v>
      </c>
      <c r="C55" s="116" t="s">
        <v>402</v>
      </c>
      <c r="D55" s="160">
        <f>IF(E41=1,ROUND(D42+D43*2,2),ROUND(D44*PI(),2))</f>
        <v>0</v>
      </c>
      <c r="E55" s="33" t="s">
        <v>228</v>
      </c>
      <c r="F55" s="161" t="str">
        <f>IF(E41=1,"側溝　幅+高さ*2",IF(E41=2,"管渠　π*直径","-"))</f>
        <v>-</v>
      </c>
      <c r="H55" s="139"/>
      <c r="I55" s="45"/>
      <c r="J55" s="126"/>
    </row>
    <row r="56" spans="1:14" ht="20.25" customHeight="1" x14ac:dyDescent="0.15">
      <c r="B56" s="63" t="s">
        <v>33</v>
      </c>
      <c r="C56" s="117" t="s">
        <v>403</v>
      </c>
      <c r="D56" s="162">
        <f>D47/100</f>
        <v>0</v>
      </c>
      <c r="E56" s="74" t="s">
        <v>229</v>
      </c>
      <c r="F56" s="20"/>
      <c r="H56" s="138" t="s">
        <v>124</v>
      </c>
      <c r="I56" s="127" t="s">
        <v>127</v>
      </c>
      <c r="J56" s="264">
        <f>ROUND(D56^(1/2),5)</f>
        <v>0</v>
      </c>
    </row>
    <row r="57" spans="1:14" ht="9.75" customHeight="1" x14ac:dyDescent="0.15"/>
    <row r="58" spans="1:14" ht="36" customHeight="1" x14ac:dyDescent="0.15">
      <c r="B58" s="129" t="s">
        <v>33</v>
      </c>
      <c r="C58" s="253" t="s">
        <v>128</v>
      </c>
      <c r="D58" s="260" t="e">
        <f>ROUND(D51*D52*0.7,5)</f>
        <v>#DIV/0!</v>
      </c>
      <c r="E58" s="125" t="s">
        <v>397</v>
      </c>
      <c r="F58" s="130" t="s">
        <v>416</v>
      </c>
    </row>
    <row r="59" spans="1:14" ht="20.25" customHeight="1" x14ac:dyDescent="0.15">
      <c r="B59" s="17"/>
    </row>
    <row r="60" spans="1:14" ht="20.25" customHeight="1" x14ac:dyDescent="0.15">
      <c r="B60" s="17"/>
    </row>
    <row r="61" spans="1:14" ht="20.25" customHeight="1" x14ac:dyDescent="0.15">
      <c r="B61" s="17"/>
    </row>
    <row r="62" spans="1:14" ht="20.25" customHeight="1" x14ac:dyDescent="0.15">
      <c r="B62" s="17"/>
    </row>
    <row r="63" spans="1:14" ht="20.25" customHeight="1" x14ac:dyDescent="0.15">
      <c r="B63" s="17"/>
    </row>
    <row r="64" spans="1:14" ht="20.25" customHeight="1" x14ac:dyDescent="0.15">
      <c r="B64" s="17"/>
    </row>
    <row r="65" spans="2:2" ht="20.25" customHeight="1" x14ac:dyDescent="0.15">
      <c r="B65" s="17"/>
    </row>
    <row r="66" spans="2:2" ht="20.25" customHeight="1" x14ac:dyDescent="0.15">
      <c r="B66" s="17"/>
    </row>
    <row r="67" spans="2:2" ht="20.25" customHeight="1" x14ac:dyDescent="0.15">
      <c r="B67" s="17"/>
    </row>
    <row r="68" spans="2:2" ht="20.25" customHeight="1" x14ac:dyDescent="0.15">
      <c r="B68" s="17"/>
    </row>
    <row r="69" spans="2:2" ht="20.25" customHeight="1" x14ac:dyDescent="0.15">
      <c r="B69" s="17"/>
    </row>
    <row r="70" spans="2:2" ht="20.25" customHeight="1" x14ac:dyDescent="0.15">
      <c r="B70" s="17"/>
    </row>
    <row r="71" spans="2:2" ht="20.25" customHeight="1" x14ac:dyDescent="0.15">
      <c r="B71" s="17"/>
    </row>
    <row r="72" spans="2:2" ht="20.25" customHeight="1" x14ac:dyDescent="0.15">
      <c r="B72" s="17"/>
    </row>
    <row r="73" spans="2:2" ht="20.25" customHeight="1" x14ac:dyDescent="0.15">
      <c r="B73" s="17"/>
    </row>
    <row r="74" spans="2:2" ht="20.25" customHeight="1" x14ac:dyDescent="0.15">
      <c r="B74" s="17"/>
    </row>
    <row r="75" spans="2:2" ht="20.25" customHeight="1" x14ac:dyDescent="0.15">
      <c r="B75" s="17"/>
    </row>
    <row r="76" spans="2:2" ht="20.25" customHeight="1" x14ac:dyDescent="0.15">
      <c r="B76" s="17"/>
    </row>
    <row r="77" spans="2:2" ht="20.25" customHeight="1" x14ac:dyDescent="0.15">
      <c r="B77" s="17"/>
    </row>
    <row r="78" spans="2:2" ht="20.25" customHeight="1" x14ac:dyDescent="0.15">
      <c r="B78" s="17"/>
    </row>
  </sheetData>
  <mergeCells count="52">
    <mergeCell ref="M1:N1"/>
    <mergeCell ref="A1:F1"/>
    <mergeCell ref="I1:L1"/>
    <mergeCell ref="F14:F16"/>
    <mergeCell ref="F31:F32"/>
    <mergeCell ref="E4:F4"/>
    <mergeCell ref="E5:F5"/>
    <mergeCell ref="L22:M22"/>
    <mergeCell ref="H32:I33"/>
    <mergeCell ref="H28:I29"/>
    <mergeCell ref="H26:K27"/>
    <mergeCell ref="J33:K33"/>
    <mergeCell ref="J29:K29"/>
    <mergeCell ref="J30:K30"/>
    <mergeCell ref="J28:K28"/>
    <mergeCell ref="J31:K31"/>
    <mergeCell ref="J32:K32"/>
    <mergeCell ref="J39:K39"/>
    <mergeCell ref="H37:I39"/>
    <mergeCell ref="H40:K40"/>
    <mergeCell ref="H34:I36"/>
    <mergeCell ref="H30:I31"/>
    <mergeCell ref="B31:B32"/>
    <mergeCell ref="C31:C32"/>
    <mergeCell ref="D31:D32"/>
    <mergeCell ref="E31:E32"/>
    <mergeCell ref="B45:B46"/>
    <mergeCell ref="C45:C46"/>
    <mergeCell ref="B47:B48"/>
    <mergeCell ref="C47:C48"/>
    <mergeCell ref="D45:D46"/>
    <mergeCell ref="E45:E46"/>
    <mergeCell ref="F45:F46"/>
    <mergeCell ref="D47:D48"/>
    <mergeCell ref="E47:E48"/>
    <mergeCell ref="F47:F48"/>
    <mergeCell ref="H48:K48"/>
    <mergeCell ref="M48:N48"/>
    <mergeCell ref="J21:K21"/>
    <mergeCell ref="I22:J22"/>
    <mergeCell ref="H41:K41"/>
    <mergeCell ref="H42:K42"/>
    <mergeCell ref="H43:K43"/>
    <mergeCell ref="H44:K44"/>
    <mergeCell ref="H45:K45"/>
    <mergeCell ref="H46:K46"/>
    <mergeCell ref="J35:K35"/>
    <mergeCell ref="J36:K36"/>
    <mergeCell ref="H47:K47"/>
    <mergeCell ref="J34:K34"/>
    <mergeCell ref="J37:K37"/>
    <mergeCell ref="J38:K38"/>
  </mergeCells>
  <phoneticPr fontId="2"/>
  <printOptions horizontalCentered="1"/>
  <pageMargins left="0.78740157480314965" right="0.55118110236220474" top="0.82677165354330717" bottom="0.74803149606299213" header="0.51181102362204722" footer="0.51181102362204722"/>
  <pageSetup paperSize="9" scale="67" firstPageNumber="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view="pageBreakPreview" zoomScaleNormal="100" zoomScaleSheetLayoutView="100" workbookViewId="0">
      <selection activeCell="T12" sqref="T12"/>
    </sheetView>
  </sheetViews>
  <sheetFormatPr defaultRowHeight="17.25" customHeight="1" x14ac:dyDescent="0.15"/>
  <cols>
    <col min="1" max="1" width="3.875" style="12" customWidth="1"/>
    <col min="2" max="22" width="3.875" style="172" customWidth="1"/>
    <col min="23" max="23" width="5.25" style="172" bestFit="1" customWidth="1"/>
    <col min="24" max="16384" width="9" style="172"/>
  </cols>
  <sheetData>
    <row r="1" spans="1:24" s="12" customFormat="1" ht="21" customHeight="1" x14ac:dyDescent="0.15">
      <c r="A1" s="384" t="s">
        <v>122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 t="s">
        <v>231</v>
      </c>
      <c r="N1" s="386"/>
      <c r="O1" s="386"/>
      <c r="P1" s="386"/>
      <c r="Q1" s="386"/>
      <c r="R1" s="387"/>
      <c r="S1" s="170"/>
      <c r="T1" s="170"/>
      <c r="U1" s="382" t="s">
        <v>168</v>
      </c>
      <c r="V1" s="383"/>
      <c r="W1" s="383"/>
    </row>
    <row r="2" spans="1:24" ht="17.25" customHeight="1" x14ac:dyDescent="0.15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ht="17.25" customHeight="1" x14ac:dyDescent="0.15">
      <c r="A3" s="360" t="s">
        <v>283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171"/>
    </row>
    <row r="4" spans="1:24" ht="17.25" customHeight="1" x14ac:dyDescent="0.15">
      <c r="A4" s="360" t="s">
        <v>284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171"/>
    </row>
    <row r="5" spans="1:24" ht="17.25" customHeight="1" x14ac:dyDescent="0.15">
      <c r="A5" s="360" t="s">
        <v>325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171"/>
    </row>
    <row r="6" spans="1:24" ht="17.25" customHeight="1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1"/>
      <c r="X6" s="171"/>
    </row>
    <row r="7" spans="1:24" ht="17.25" customHeight="1" x14ac:dyDescent="0.15">
      <c r="A7" s="3" t="s">
        <v>138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1"/>
    </row>
    <row r="8" spans="1:24" ht="17.25" customHeight="1" x14ac:dyDescent="0.15">
      <c r="A8" s="175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1"/>
    </row>
    <row r="9" spans="1:24" ht="17.25" customHeight="1" x14ac:dyDescent="0.15">
      <c r="A9" s="175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1"/>
    </row>
    <row r="10" spans="1:24" ht="17.25" customHeight="1" x14ac:dyDescent="0.15">
      <c r="A10" s="175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1"/>
    </row>
    <row r="11" spans="1:24" ht="17.25" customHeight="1" x14ac:dyDescent="0.15">
      <c r="A11" s="175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1"/>
    </row>
    <row r="12" spans="1:24" ht="17.25" customHeight="1" x14ac:dyDescent="0.15">
      <c r="A12" s="175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1"/>
    </row>
    <row r="13" spans="1:24" ht="17.25" customHeight="1" x14ac:dyDescent="0.15">
      <c r="A13" s="175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1"/>
    </row>
    <row r="14" spans="1:24" ht="17.25" customHeight="1" x14ac:dyDescent="0.15">
      <c r="A14" s="175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1"/>
    </row>
    <row r="15" spans="1:24" ht="17.25" customHeight="1" x14ac:dyDescent="0.15">
      <c r="A15" s="175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1"/>
    </row>
    <row r="16" spans="1:24" ht="17.25" customHeight="1" x14ac:dyDescent="0.15">
      <c r="A16" s="175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1"/>
    </row>
    <row r="17" spans="1:24" ht="17.25" customHeight="1" x14ac:dyDescent="0.15">
      <c r="A17" s="175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1"/>
    </row>
    <row r="18" spans="1:24" ht="17.25" customHeight="1" x14ac:dyDescent="0.15">
      <c r="A18" s="175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1"/>
    </row>
    <row r="19" spans="1:24" ht="17.25" customHeight="1" x14ac:dyDescent="0.15">
      <c r="A19" s="17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1"/>
    </row>
    <row r="20" spans="1:24" ht="17.25" customHeight="1" x14ac:dyDescent="0.15">
      <c r="A20" s="175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1"/>
    </row>
    <row r="21" spans="1:24" ht="17.25" customHeight="1" x14ac:dyDescent="0.15">
      <c r="A21" s="175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1"/>
    </row>
    <row r="22" spans="1:24" ht="17.25" customHeight="1" x14ac:dyDescent="0.15">
      <c r="A22" s="3" t="s">
        <v>176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363" t="s">
        <v>295</v>
      </c>
      <c r="Q22" s="364"/>
      <c r="R22" s="364"/>
      <c r="S22" s="364"/>
      <c r="T22" s="364"/>
      <c r="U22" s="364"/>
      <c r="V22" s="364"/>
      <c r="W22" s="365"/>
      <c r="X22" s="171"/>
    </row>
    <row r="23" spans="1:24" ht="17.25" customHeight="1" x14ac:dyDescent="0.15">
      <c r="A23" s="3"/>
      <c r="B23" s="172" t="s">
        <v>175</v>
      </c>
      <c r="P23" s="223"/>
      <c r="Q23" s="168"/>
      <c r="R23" s="168"/>
      <c r="S23" s="168"/>
      <c r="T23" s="168"/>
      <c r="U23" s="168"/>
      <c r="V23" s="168"/>
      <c r="W23" s="241"/>
    </row>
    <row r="24" spans="1:24" ht="17.25" customHeight="1" x14ac:dyDescent="0.15">
      <c r="A24" s="3"/>
      <c r="E24" s="177" t="s">
        <v>30</v>
      </c>
      <c r="F24" s="178" t="s">
        <v>174</v>
      </c>
      <c r="G24" s="178"/>
      <c r="H24" s="178"/>
      <c r="I24" s="178"/>
      <c r="P24" s="223"/>
      <c r="Q24" s="357" t="s">
        <v>173</v>
      </c>
      <c r="R24" s="357"/>
      <c r="S24" s="357"/>
      <c r="T24" s="357"/>
      <c r="U24" s="361">
        <f>ROUND('１条件記入、流下能力算定'!D19,1)</f>
        <v>0</v>
      </c>
      <c r="V24" s="361"/>
      <c r="W24" s="268" t="s">
        <v>252</v>
      </c>
    </row>
    <row r="25" spans="1:24" ht="17.25" customHeight="1" x14ac:dyDescent="0.15">
      <c r="A25" s="3"/>
      <c r="E25" s="180" t="s">
        <v>30</v>
      </c>
      <c r="F25" s="368" t="e">
        <f>ROUND(U24/U25,1)</f>
        <v>#DIV/0!</v>
      </c>
      <c r="G25" s="368"/>
      <c r="H25" s="368"/>
      <c r="I25" s="178" t="s">
        <v>151</v>
      </c>
      <c r="J25" s="178"/>
      <c r="P25" s="224"/>
      <c r="Q25" s="357" t="s">
        <v>150</v>
      </c>
      <c r="R25" s="357"/>
      <c r="S25" s="357"/>
      <c r="T25" s="357"/>
      <c r="U25" s="361">
        <f>ROUND('１条件記入、流下能力算定'!D10,1)</f>
        <v>0</v>
      </c>
      <c r="V25" s="361"/>
      <c r="W25" s="268" t="s">
        <v>151</v>
      </c>
    </row>
    <row r="26" spans="1:24" ht="17.25" customHeight="1" x14ac:dyDescent="0.15">
      <c r="A26" s="3"/>
      <c r="B26" s="356" t="s">
        <v>143</v>
      </c>
      <c r="C26" s="356"/>
      <c r="D26" s="356"/>
      <c r="E26" s="177" t="s">
        <v>141</v>
      </c>
      <c r="F26" s="178" t="s">
        <v>407</v>
      </c>
      <c r="G26" s="178"/>
      <c r="H26" s="178"/>
      <c r="I26" s="178"/>
      <c r="J26" s="178"/>
      <c r="P26" s="223"/>
      <c r="Q26" s="358"/>
      <c r="R26" s="358"/>
      <c r="S26" s="358"/>
      <c r="T26" s="358"/>
      <c r="U26" s="362"/>
      <c r="V26" s="362"/>
      <c r="W26" s="241"/>
    </row>
    <row r="27" spans="1:24" ht="17.25" customHeight="1" x14ac:dyDescent="0.15">
      <c r="A27" s="3"/>
      <c r="B27" s="356"/>
      <c r="C27" s="356"/>
      <c r="D27" s="356"/>
      <c r="E27" s="180" t="s">
        <v>141</v>
      </c>
      <c r="F27" s="369">
        <f>ROUND(U27*U28/(24*60*60),5)</f>
        <v>0</v>
      </c>
      <c r="G27" s="369"/>
      <c r="H27" s="369"/>
      <c r="I27" s="359" t="s">
        <v>253</v>
      </c>
      <c r="J27" s="359"/>
      <c r="K27" s="182"/>
      <c r="O27" s="176"/>
      <c r="P27" s="223"/>
      <c r="Q27" s="357" t="s">
        <v>24</v>
      </c>
      <c r="R27" s="357"/>
      <c r="S27" s="357"/>
      <c r="T27" s="357"/>
      <c r="U27" s="367">
        <f>'１条件記入、流下能力算定'!D37</f>
        <v>0</v>
      </c>
      <c r="V27" s="367"/>
      <c r="W27" s="241" t="s">
        <v>254</v>
      </c>
    </row>
    <row r="28" spans="1:24" ht="17.25" customHeight="1" x14ac:dyDescent="0.15">
      <c r="A28" s="3"/>
      <c r="B28" s="356" t="s">
        <v>144</v>
      </c>
      <c r="C28" s="356"/>
      <c r="D28" s="356"/>
      <c r="E28" s="183" t="s">
        <v>230</v>
      </c>
      <c r="F28" s="388" t="s">
        <v>417</v>
      </c>
      <c r="G28" s="388"/>
      <c r="H28" s="388"/>
      <c r="I28" s="388"/>
      <c r="J28" s="388"/>
      <c r="K28" s="388"/>
      <c r="L28" s="388"/>
      <c r="M28" s="388"/>
      <c r="N28" s="388"/>
      <c r="O28" s="388"/>
      <c r="P28" s="225"/>
      <c r="Q28" s="357" t="s">
        <v>408</v>
      </c>
      <c r="R28" s="357"/>
      <c r="S28" s="357"/>
      <c r="T28" s="357"/>
      <c r="U28" s="367">
        <f>'１条件記入、流下能力算定'!E36</f>
        <v>0</v>
      </c>
      <c r="V28" s="367"/>
      <c r="W28" s="269" t="str">
        <f>IF(U28=1,"機能あり","機能なし")</f>
        <v>機能なし</v>
      </c>
    </row>
    <row r="29" spans="1:24" ht="17.25" customHeight="1" x14ac:dyDescent="0.15">
      <c r="A29" s="3"/>
      <c r="B29" s="359"/>
      <c r="C29" s="359"/>
      <c r="D29" s="359"/>
      <c r="E29" s="180" t="s">
        <v>179</v>
      </c>
      <c r="F29" s="368">
        <f>ROUND(F27*3600000/U29/100,1)</f>
        <v>0</v>
      </c>
      <c r="G29" s="368"/>
      <c r="H29" s="368"/>
      <c r="I29" s="176" t="s">
        <v>255</v>
      </c>
      <c r="J29" s="176"/>
      <c r="K29" s="176"/>
      <c r="L29" s="176"/>
      <c r="M29" s="176"/>
      <c r="N29" s="176"/>
      <c r="O29" s="176"/>
      <c r="P29" s="225"/>
      <c r="Q29" s="357" t="s">
        <v>149</v>
      </c>
      <c r="R29" s="357"/>
      <c r="S29" s="357"/>
      <c r="T29" s="357"/>
      <c r="U29" s="366">
        <f>'１条件記入、流下能力算定'!D26</f>
        <v>0.6</v>
      </c>
      <c r="V29" s="366"/>
      <c r="W29" s="241"/>
    </row>
    <row r="30" spans="1:24" ht="17.25" customHeight="1" x14ac:dyDescent="0.15">
      <c r="B30" s="359" t="s">
        <v>142</v>
      </c>
      <c r="C30" s="359"/>
      <c r="D30" s="359"/>
      <c r="E30" s="180" t="s">
        <v>230</v>
      </c>
      <c r="F30" s="176" t="s">
        <v>145</v>
      </c>
      <c r="G30" s="176"/>
      <c r="H30" s="176"/>
      <c r="I30" s="176"/>
      <c r="J30" s="176"/>
      <c r="K30" s="176"/>
      <c r="L30" s="176"/>
      <c r="M30" s="176"/>
      <c r="N30" s="176"/>
      <c r="O30" s="176"/>
      <c r="P30" s="225"/>
      <c r="Q30" s="380" t="s">
        <v>152</v>
      </c>
      <c r="R30" s="380"/>
      <c r="S30" s="380"/>
      <c r="T30" s="380"/>
      <c r="U30" s="389" t="e">
        <f>'１条件記入、流下能力算定'!D58</f>
        <v>#DIV/0!</v>
      </c>
      <c r="V30" s="389"/>
      <c r="W30" s="241" t="s">
        <v>256</v>
      </c>
    </row>
    <row r="31" spans="1:24" ht="17.25" customHeight="1" x14ac:dyDescent="0.15">
      <c r="B31" s="185"/>
      <c r="C31" s="185"/>
      <c r="D31" s="185"/>
      <c r="E31" s="180" t="s">
        <v>29</v>
      </c>
      <c r="F31" s="368" t="e">
        <f>ROUND(F29/F25,1)</f>
        <v>#DIV/0!</v>
      </c>
      <c r="G31" s="368"/>
      <c r="H31" s="368"/>
      <c r="I31" s="176" t="s">
        <v>257</v>
      </c>
      <c r="J31" s="185"/>
      <c r="K31" s="185"/>
      <c r="L31" s="185"/>
      <c r="M31" s="185"/>
      <c r="N31" s="185"/>
      <c r="O31" s="185"/>
      <c r="P31" s="225"/>
      <c r="Q31" s="380"/>
      <c r="R31" s="380"/>
      <c r="S31" s="380"/>
      <c r="T31" s="380"/>
      <c r="U31" s="378"/>
      <c r="V31" s="378"/>
      <c r="W31" s="241"/>
    </row>
    <row r="32" spans="1:24" ht="17.25" customHeight="1" x14ac:dyDescent="0.15">
      <c r="P32" s="225"/>
      <c r="Q32" s="380" t="s">
        <v>153</v>
      </c>
      <c r="R32" s="380"/>
      <c r="S32" s="380"/>
      <c r="T32" s="380"/>
      <c r="U32" s="379">
        <f>'１条件記入、流下能力算定'!D14</f>
        <v>0</v>
      </c>
      <c r="V32" s="379"/>
      <c r="W32" s="241" t="s">
        <v>31</v>
      </c>
    </row>
    <row r="33" spans="1:23" ht="17.25" customHeight="1" x14ac:dyDescent="0.15">
      <c r="B33" s="164"/>
      <c r="C33" s="164"/>
      <c r="D33" s="164"/>
      <c r="P33" s="225"/>
      <c r="Q33" s="380" t="s">
        <v>258</v>
      </c>
      <c r="R33" s="380"/>
      <c r="S33" s="380"/>
      <c r="T33" s="380"/>
      <c r="U33" s="379">
        <f>'１条件記入、流下能力算定'!D15</f>
        <v>0</v>
      </c>
      <c r="V33" s="379"/>
      <c r="W33" s="241" t="s">
        <v>31</v>
      </c>
    </row>
    <row r="34" spans="1:23" ht="17.25" customHeight="1" x14ac:dyDescent="0.15">
      <c r="A34" s="3" t="s">
        <v>147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226"/>
      <c r="Q34" s="185"/>
      <c r="R34" s="185"/>
      <c r="S34" s="185"/>
      <c r="T34" s="185"/>
      <c r="U34" s="185"/>
      <c r="V34" s="185"/>
      <c r="W34" s="241"/>
    </row>
    <row r="35" spans="1:23" ht="17.25" customHeight="1" x14ac:dyDescent="0.15">
      <c r="A35" s="3"/>
      <c r="B35" s="185" t="s">
        <v>157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226"/>
      <c r="Q35" s="168"/>
      <c r="R35" s="168"/>
      <c r="S35" s="168"/>
      <c r="T35" s="168"/>
      <c r="U35" s="168"/>
      <c r="V35" s="168"/>
      <c r="W35" s="241"/>
    </row>
    <row r="36" spans="1:23" ht="17.25" customHeight="1" x14ac:dyDescent="0.15">
      <c r="A36" s="3"/>
      <c r="B36" s="185"/>
      <c r="C36" s="185"/>
      <c r="D36" s="185"/>
      <c r="E36" s="180" t="s">
        <v>178</v>
      </c>
      <c r="F36" s="185" t="s">
        <v>158</v>
      </c>
      <c r="G36" s="185"/>
      <c r="H36" s="185"/>
      <c r="I36" s="185"/>
      <c r="J36" s="185"/>
      <c r="K36" s="185"/>
      <c r="L36" s="185"/>
      <c r="M36" s="185"/>
      <c r="N36" s="185"/>
      <c r="O36" s="185"/>
      <c r="P36" s="226"/>
      <c r="Q36" s="185"/>
      <c r="R36" s="185"/>
      <c r="S36" s="185"/>
      <c r="T36" s="185"/>
      <c r="U36" s="185"/>
      <c r="V36" s="185"/>
      <c r="W36" s="241"/>
    </row>
    <row r="37" spans="1:23" ht="17.25" customHeight="1" x14ac:dyDescent="0.15">
      <c r="B37" s="185"/>
      <c r="C37" s="185"/>
      <c r="D37" s="185"/>
      <c r="E37" s="180" t="s">
        <v>30</v>
      </c>
      <c r="F37" s="361" t="e">
        <f>ROUND(U25+F31,1)</f>
        <v>#DIV/0!</v>
      </c>
      <c r="G37" s="361"/>
      <c r="H37" s="176" t="s">
        <v>151</v>
      </c>
      <c r="I37" s="185"/>
      <c r="J37" s="185" t="s">
        <v>259</v>
      </c>
      <c r="K37" s="185"/>
      <c r="L37" s="185"/>
      <c r="M37" s="185"/>
      <c r="N37" s="185"/>
      <c r="O37" s="185"/>
      <c r="P37" s="270"/>
      <c r="Q37" s="227"/>
      <c r="R37" s="227"/>
      <c r="S37" s="227"/>
      <c r="T37" s="227"/>
      <c r="U37" s="227"/>
      <c r="V37" s="227"/>
      <c r="W37" s="271"/>
    </row>
    <row r="38" spans="1:23" ht="17.25" customHeight="1" x14ac:dyDescent="0.15">
      <c r="A38" s="3"/>
      <c r="B38" s="378" t="s">
        <v>148</v>
      </c>
      <c r="C38" s="378"/>
      <c r="D38" s="378"/>
      <c r="E38" s="378"/>
      <c r="F38" s="378"/>
      <c r="M38" s="185"/>
      <c r="N38" s="185"/>
      <c r="O38" s="185"/>
      <c r="Q38" s="188"/>
      <c r="R38" s="188"/>
      <c r="S38" s="188"/>
      <c r="T38" s="188"/>
      <c r="U38" s="188"/>
      <c r="V38" s="188"/>
      <c r="W38" s="188"/>
    </row>
    <row r="39" spans="1:23" ht="17.25" customHeight="1" x14ac:dyDescent="0.15">
      <c r="A39" s="3"/>
      <c r="B39" s="185"/>
      <c r="C39" s="185"/>
      <c r="D39" s="185"/>
      <c r="E39" s="180" t="s">
        <v>30</v>
      </c>
      <c r="F39" s="185" t="s">
        <v>418</v>
      </c>
      <c r="G39" s="185"/>
      <c r="H39" s="185"/>
      <c r="I39" s="185"/>
      <c r="J39" s="185"/>
      <c r="K39" s="185"/>
      <c r="L39" s="185"/>
      <c r="Q39" s="185"/>
      <c r="R39" s="188"/>
      <c r="S39" s="188"/>
      <c r="T39" s="188"/>
      <c r="U39" s="188"/>
      <c r="V39" s="188"/>
      <c r="W39" s="188"/>
    </row>
    <row r="40" spans="1:23" ht="17.25" customHeight="1" x14ac:dyDescent="0.15">
      <c r="A40" s="3"/>
      <c r="B40" s="185"/>
      <c r="C40" s="185"/>
      <c r="D40" s="185"/>
      <c r="E40" s="180" t="s">
        <v>29</v>
      </c>
      <c r="F40" s="361" t="e">
        <f>ROUND(((3600000*U30)-(90*U32/2*U33))/(U29*100*U33),1)</f>
        <v>#DIV/0!</v>
      </c>
      <c r="G40" s="361"/>
      <c r="H40" s="176" t="s">
        <v>257</v>
      </c>
      <c r="I40" s="185"/>
      <c r="J40" s="185" t="s">
        <v>260</v>
      </c>
      <c r="K40" s="185"/>
      <c r="L40" s="185"/>
      <c r="M40" s="185"/>
      <c r="N40" s="185"/>
      <c r="O40" s="185"/>
      <c r="Q40" s="185"/>
      <c r="R40" s="188"/>
      <c r="S40" s="188"/>
      <c r="T40" s="188"/>
      <c r="U40" s="188"/>
      <c r="V40" s="188"/>
      <c r="W40" s="188"/>
    </row>
    <row r="41" spans="1:23" ht="17.25" customHeight="1" thickBot="1" x14ac:dyDescent="0.2">
      <c r="M41" s="185"/>
      <c r="N41" s="185"/>
      <c r="O41" s="185"/>
      <c r="P41" s="185"/>
      <c r="Q41" s="185"/>
      <c r="R41" s="188"/>
      <c r="S41" s="188"/>
      <c r="T41" s="188"/>
      <c r="U41" s="188"/>
      <c r="V41" s="188"/>
      <c r="W41" s="188"/>
    </row>
    <row r="42" spans="1:23" ht="17.25" customHeight="1" thickTop="1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7"/>
    </row>
    <row r="43" spans="1:23" ht="17.25" customHeight="1" x14ac:dyDescent="0.15">
      <c r="A43" s="218"/>
      <c r="B43" s="151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144"/>
      <c r="N43" s="144"/>
      <c r="O43" s="144"/>
      <c r="P43" s="163" t="s">
        <v>160</v>
      </c>
      <c r="Q43" s="163"/>
      <c r="R43" s="163"/>
      <c r="S43" s="381" t="e">
        <f>IF(F37&gt;F40,"①＞②","①＜②")</f>
        <v>#DIV/0!</v>
      </c>
      <c r="T43" s="381"/>
      <c r="U43" s="163"/>
      <c r="V43" s="144"/>
      <c r="W43" s="230"/>
    </row>
    <row r="44" spans="1:23" ht="9.75" customHeight="1" thickBot="1" x14ac:dyDescent="0.2">
      <c r="A44" s="219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44"/>
      <c r="N44" s="144"/>
      <c r="O44" s="144"/>
      <c r="P44" s="144"/>
      <c r="Q44" s="60"/>
      <c r="R44" s="60"/>
      <c r="S44" s="60"/>
      <c r="T44" s="60"/>
      <c r="U44" s="60"/>
      <c r="V44" s="60"/>
      <c r="W44" s="148"/>
    </row>
    <row r="45" spans="1:23" ht="27.75" customHeight="1" thickBot="1" x14ac:dyDescent="0.2">
      <c r="A45" s="220"/>
      <c r="B45" s="372" t="str">
        <f>IFERROR(IF(F37&gt;F40,"○",""),"")</f>
        <v/>
      </c>
      <c r="C45" s="373"/>
      <c r="D45" s="374" t="s">
        <v>287</v>
      </c>
      <c r="E45" s="375"/>
      <c r="F45" s="375"/>
      <c r="G45" s="375"/>
      <c r="H45" s="375"/>
      <c r="I45" s="375"/>
      <c r="J45" s="375"/>
      <c r="K45" s="375"/>
      <c r="L45" s="376"/>
      <c r="M45" s="372" t="str">
        <f>IFERROR(IF(F37&lt;F40,"○",""),"")</f>
        <v/>
      </c>
      <c r="N45" s="373"/>
      <c r="O45" s="374" t="s">
        <v>288</v>
      </c>
      <c r="P45" s="375"/>
      <c r="Q45" s="375"/>
      <c r="R45" s="375"/>
      <c r="S45" s="375"/>
      <c r="T45" s="375"/>
      <c r="U45" s="375"/>
      <c r="V45" s="375"/>
      <c r="W45" s="377"/>
    </row>
    <row r="46" spans="1:23" ht="20.25" customHeight="1" x14ac:dyDescent="0.15">
      <c r="A46" s="220"/>
      <c r="B46" s="370" t="s">
        <v>285</v>
      </c>
      <c r="C46" s="370"/>
      <c r="D46" s="60"/>
      <c r="E46" s="60"/>
      <c r="F46" s="60"/>
      <c r="G46" s="60"/>
      <c r="H46" s="60"/>
      <c r="I46" s="60"/>
      <c r="J46" s="60"/>
      <c r="K46" s="60"/>
      <c r="L46" s="60"/>
      <c r="M46" s="370" t="s">
        <v>285</v>
      </c>
      <c r="N46" s="370"/>
      <c r="O46" s="60"/>
      <c r="P46" s="229"/>
      <c r="Q46" s="231"/>
      <c r="R46" s="231"/>
      <c r="S46" s="231"/>
      <c r="T46" s="231"/>
      <c r="U46" s="231"/>
      <c r="V46" s="231"/>
      <c r="W46" s="232"/>
    </row>
    <row r="47" spans="1:23" ht="17.25" customHeight="1" x14ac:dyDescent="0.15">
      <c r="A47" s="220"/>
      <c r="B47" s="371" t="s">
        <v>396</v>
      </c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144" t="s">
        <v>171</v>
      </c>
      <c r="N47" s="144"/>
      <c r="O47" s="144"/>
      <c r="P47" s="231"/>
      <c r="Q47" s="144"/>
      <c r="R47" s="144"/>
      <c r="S47" s="144"/>
      <c r="T47" s="144"/>
      <c r="U47" s="144"/>
      <c r="V47" s="144"/>
      <c r="W47" s="230"/>
    </row>
    <row r="48" spans="1:23" ht="17.25" customHeight="1" thickBot="1" x14ac:dyDescent="0.2">
      <c r="A48" s="221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222"/>
    </row>
    <row r="49" spans="1:16" ht="17.25" customHeight="1" thickTop="1" x14ac:dyDescent="0.15">
      <c r="A49" s="3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</row>
  </sheetData>
  <mergeCells count="49">
    <mergeCell ref="A3:W3"/>
    <mergeCell ref="S43:T43"/>
    <mergeCell ref="U1:W1"/>
    <mergeCell ref="A1:L1"/>
    <mergeCell ref="M1:R1"/>
    <mergeCell ref="Q33:T33"/>
    <mergeCell ref="F28:O28"/>
    <mergeCell ref="B30:D30"/>
    <mergeCell ref="F31:H31"/>
    <mergeCell ref="B27:D27"/>
    <mergeCell ref="U30:V30"/>
    <mergeCell ref="U32:V32"/>
    <mergeCell ref="F40:G40"/>
    <mergeCell ref="F37:G37"/>
    <mergeCell ref="B38:F38"/>
    <mergeCell ref="F29:H29"/>
    <mergeCell ref="O45:W45"/>
    <mergeCell ref="U31:V31"/>
    <mergeCell ref="U33:V33"/>
    <mergeCell ref="Q30:T30"/>
    <mergeCell ref="Q31:T31"/>
    <mergeCell ref="Q32:T32"/>
    <mergeCell ref="M46:N46"/>
    <mergeCell ref="B46:C46"/>
    <mergeCell ref="B47:L47"/>
    <mergeCell ref="B45:C45"/>
    <mergeCell ref="M45:N45"/>
    <mergeCell ref="D45:L45"/>
    <mergeCell ref="B29:D29"/>
    <mergeCell ref="A4:W4"/>
    <mergeCell ref="Q24:T24"/>
    <mergeCell ref="U24:V24"/>
    <mergeCell ref="U26:V26"/>
    <mergeCell ref="U25:V25"/>
    <mergeCell ref="A5:W5"/>
    <mergeCell ref="P22:W22"/>
    <mergeCell ref="U29:V29"/>
    <mergeCell ref="Q29:T29"/>
    <mergeCell ref="U27:V27"/>
    <mergeCell ref="Q28:T28"/>
    <mergeCell ref="U28:V28"/>
    <mergeCell ref="I27:J27"/>
    <mergeCell ref="F25:H25"/>
    <mergeCell ref="F27:H27"/>
    <mergeCell ref="B26:D26"/>
    <mergeCell ref="B28:D28"/>
    <mergeCell ref="Q27:T27"/>
    <mergeCell ref="Q25:T25"/>
    <mergeCell ref="Q26:T26"/>
  </mergeCells>
  <phoneticPr fontId="2"/>
  <printOptions horizontalCentered="1"/>
  <pageMargins left="0.55118110236220474" right="0.35433070866141736" top="0.59055118110236227" bottom="0.43307086614173229" header="0.27559055118110237" footer="0.35433070866141736"/>
  <pageSetup paperSize="9" firstPageNumber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8"/>
  <sheetViews>
    <sheetView view="pageBreakPreview" zoomScaleNormal="50" workbookViewId="0">
      <selection activeCell="T12" sqref="T12"/>
    </sheetView>
  </sheetViews>
  <sheetFormatPr defaultRowHeight="17.25" customHeight="1" x14ac:dyDescent="0.15"/>
  <cols>
    <col min="1" max="1" width="3.875" style="12" customWidth="1"/>
    <col min="2" max="23" width="3.875" style="172" customWidth="1"/>
    <col min="24" max="24" width="4" style="172" customWidth="1"/>
    <col min="25" max="25" width="9" style="172"/>
    <col min="26" max="29" width="8.125" style="172" customWidth="1"/>
    <col min="30" max="16384" width="9" style="172"/>
  </cols>
  <sheetData>
    <row r="1" spans="1:25" s="12" customFormat="1" ht="21" customHeight="1" x14ac:dyDescent="0.15">
      <c r="A1" s="384" t="s">
        <v>122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 t="s">
        <v>231</v>
      </c>
      <c r="N1" s="386"/>
      <c r="O1" s="386"/>
      <c r="P1" s="386"/>
      <c r="Q1" s="386"/>
      <c r="R1" s="387"/>
      <c r="S1" s="170"/>
      <c r="T1" s="170"/>
      <c r="U1" s="382" t="s">
        <v>169</v>
      </c>
      <c r="V1" s="382"/>
      <c r="W1" s="382"/>
      <c r="X1" s="382"/>
    </row>
    <row r="2" spans="1:25" ht="17.25" customHeight="1" x14ac:dyDescent="0.15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25" ht="17.25" customHeight="1" x14ac:dyDescent="0.15">
      <c r="A3" s="360" t="s">
        <v>170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171"/>
    </row>
    <row r="4" spans="1:25" ht="17.25" customHeight="1" x14ac:dyDescent="0.15">
      <c r="A4" s="360" t="s">
        <v>223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171"/>
    </row>
    <row r="5" spans="1:25" ht="17.25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1"/>
      <c r="Y5" s="171"/>
    </row>
    <row r="6" spans="1:25" ht="17.25" customHeight="1" x14ac:dyDescent="0.15">
      <c r="A6" s="3" t="s">
        <v>159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8"/>
      <c r="S6" s="188"/>
      <c r="T6" s="188"/>
      <c r="U6" s="188"/>
      <c r="V6" s="188"/>
      <c r="W6" s="188"/>
      <c r="X6" s="188"/>
    </row>
    <row r="7" spans="1:25" ht="17.25" customHeight="1" x14ac:dyDescent="0.15">
      <c r="A7" s="3"/>
      <c r="B7" s="378" t="s">
        <v>161</v>
      </c>
      <c r="C7" s="378"/>
      <c r="D7" s="378"/>
      <c r="E7" s="378"/>
      <c r="F7" s="180" t="s">
        <v>29</v>
      </c>
      <c r="G7" s="185" t="s">
        <v>162</v>
      </c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8"/>
      <c r="S7" s="188"/>
      <c r="T7" s="188"/>
      <c r="U7" s="188"/>
      <c r="V7" s="188"/>
      <c r="W7" s="188"/>
      <c r="X7" s="188"/>
    </row>
    <row r="8" spans="1:25" ht="17.25" customHeight="1" x14ac:dyDescent="0.15">
      <c r="A8" s="3"/>
      <c r="B8" s="185"/>
      <c r="C8" s="185"/>
      <c r="D8" s="185"/>
      <c r="F8" s="180" t="s">
        <v>178</v>
      </c>
      <c r="G8" s="361" t="e">
        <f>I14-I15</f>
        <v>#DIV/0!</v>
      </c>
      <c r="H8" s="361"/>
      <c r="I8" s="176" t="s">
        <v>177</v>
      </c>
      <c r="J8" s="185"/>
      <c r="K8" s="185"/>
      <c r="L8" s="185"/>
      <c r="M8" s="185"/>
      <c r="N8" s="185"/>
      <c r="O8" s="185"/>
      <c r="P8" s="185"/>
      <c r="Q8" s="185"/>
      <c r="R8" s="188"/>
      <c r="S8" s="188"/>
      <c r="T8" s="188"/>
      <c r="U8" s="188"/>
      <c r="V8" s="188"/>
      <c r="W8" s="188"/>
      <c r="X8" s="188"/>
    </row>
    <row r="9" spans="1:25" ht="17.25" customHeight="1" x14ac:dyDescent="0.15">
      <c r="A9" s="3"/>
      <c r="B9" s="185" t="s">
        <v>164</v>
      </c>
      <c r="C9" s="185"/>
      <c r="D9" s="185"/>
      <c r="F9" s="180" t="s">
        <v>166</v>
      </c>
      <c r="G9" s="380" t="s">
        <v>419</v>
      </c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</row>
    <row r="10" spans="1:25" ht="18" customHeight="1" x14ac:dyDescent="0.15">
      <c r="A10" s="3"/>
      <c r="F10" s="180" t="s">
        <v>179</v>
      </c>
      <c r="G10" s="450" t="e">
        <f>ROUND(1/3600000*T14*100*T15*G8,5)</f>
        <v>#DIV/0!</v>
      </c>
      <c r="H10" s="450"/>
      <c r="I10" s="450"/>
      <c r="J10" s="359" t="s">
        <v>261</v>
      </c>
      <c r="K10" s="359"/>
      <c r="L10" s="185"/>
      <c r="M10" s="185"/>
      <c r="N10" s="185"/>
      <c r="O10" s="185"/>
      <c r="P10" s="185"/>
      <c r="Q10" s="185"/>
      <c r="R10" s="188"/>
      <c r="S10" s="188"/>
      <c r="T10" s="188"/>
      <c r="U10" s="188"/>
      <c r="V10" s="188"/>
      <c r="W10" s="188"/>
      <c r="X10" s="188"/>
    </row>
    <row r="11" spans="1:25" ht="18" customHeight="1" x14ac:dyDescent="0.15">
      <c r="A11" s="3"/>
      <c r="F11" s="180" t="s">
        <v>179</v>
      </c>
      <c r="G11" s="450" t="e">
        <f>ROUND(G10*60*60,5)</f>
        <v>#DIV/0!</v>
      </c>
      <c r="H11" s="450"/>
      <c r="I11" s="450"/>
      <c r="J11" s="359" t="s">
        <v>262</v>
      </c>
      <c r="K11" s="359"/>
      <c r="L11" s="185"/>
      <c r="M11" s="185"/>
      <c r="N11" s="185"/>
      <c r="O11" s="185"/>
      <c r="P11" s="185"/>
      <c r="Q11" s="185"/>
      <c r="R11" s="188"/>
      <c r="S11" s="188"/>
      <c r="T11" s="188"/>
      <c r="U11" s="188"/>
      <c r="V11" s="188"/>
      <c r="W11" s="188"/>
      <c r="X11" s="188"/>
    </row>
    <row r="12" spans="1:25" ht="7.5" customHeight="1" x14ac:dyDescent="0.15">
      <c r="A12" s="3"/>
      <c r="P12" s="185"/>
      <c r="Q12" s="185"/>
      <c r="R12" s="188"/>
      <c r="S12" s="188"/>
      <c r="T12" s="188"/>
      <c r="U12" s="188"/>
      <c r="V12" s="188"/>
      <c r="W12" s="188"/>
      <c r="X12" s="188"/>
    </row>
    <row r="13" spans="1:25" ht="17.25" customHeight="1" x14ac:dyDescent="0.15">
      <c r="B13" s="266" t="s">
        <v>286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189"/>
      <c r="X13" s="174"/>
      <c r="Y13" s="171"/>
    </row>
    <row r="14" spans="1:25" ht="17.25" customHeight="1" x14ac:dyDescent="0.15">
      <c r="B14" s="452" t="s">
        <v>157</v>
      </c>
      <c r="C14" s="452"/>
      <c r="D14" s="452"/>
      <c r="E14" s="452"/>
      <c r="F14" s="452"/>
      <c r="G14" s="452"/>
      <c r="H14" s="452"/>
      <c r="I14" s="361" t="e">
        <f>'２判定（市街化区域）'!F37</f>
        <v>#DIV/0!</v>
      </c>
      <c r="J14" s="361"/>
      <c r="K14" s="173" t="s">
        <v>177</v>
      </c>
      <c r="L14" s="168"/>
      <c r="M14" s="451" t="s">
        <v>149</v>
      </c>
      <c r="N14" s="451"/>
      <c r="O14" s="451"/>
      <c r="P14" s="451"/>
      <c r="Q14" s="451"/>
      <c r="R14" s="451"/>
      <c r="S14" s="451"/>
      <c r="T14" s="449">
        <f>'１条件記入、流下能力算定'!D26</f>
        <v>0.6</v>
      </c>
      <c r="U14" s="449"/>
      <c r="V14" s="190"/>
      <c r="W14" s="190"/>
      <c r="X14" s="174"/>
      <c r="Y14" s="171"/>
    </row>
    <row r="15" spans="1:25" ht="17.25" customHeight="1" x14ac:dyDescent="0.15">
      <c r="B15" s="452" t="s">
        <v>148</v>
      </c>
      <c r="C15" s="452"/>
      <c r="D15" s="452"/>
      <c r="E15" s="452"/>
      <c r="F15" s="452"/>
      <c r="G15" s="452"/>
      <c r="H15" s="452"/>
      <c r="I15" s="361" t="e">
        <f>'２判定（市街化区域）'!F40</f>
        <v>#DIV/0!</v>
      </c>
      <c r="J15" s="361"/>
      <c r="K15" s="173" t="s">
        <v>151</v>
      </c>
      <c r="L15" s="168"/>
      <c r="M15" s="358" t="s">
        <v>232</v>
      </c>
      <c r="N15" s="358"/>
      <c r="O15" s="358"/>
      <c r="P15" s="358"/>
      <c r="Q15" s="358"/>
      <c r="R15" s="358"/>
      <c r="S15" s="358"/>
      <c r="T15" s="449" t="e">
        <f>'２判定（市街化区域）'!F25</f>
        <v>#DIV/0!</v>
      </c>
      <c r="U15" s="449"/>
      <c r="V15" s="168" t="s">
        <v>151</v>
      </c>
      <c r="W15" s="168"/>
      <c r="X15" s="174"/>
      <c r="Y15" s="171"/>
    </row>
    <row r="16" spans="1:25" ht="3.75" customHeight="1" x14ac:dyDescent="0.15">
      <c r="B16" s="227"/>
      <c r="C16" s="227"/>
      <c r="D16" s="227"/>
      <c r="E16" s="227"/>
      <c r="F16" s="227"/>
      <c r="G16" s="227"/>
      <c r="H16" s="227"/>
      <c r="I16" s="227"/>
      <c r="J16" s="227"/>
      <c r="K16" s="228"/>
      <c r="L16" s="227"/>
      <c r="M16" s="227"/>
      <c r="N16" s="227"/>
      <c r="O16" s="228"/>
      <c r="P16" s="228"/>
      <c r="Q16" s="228"/>
      <c r="R16" s="228"/>
      <c r="S16" s="228"/>
      <c r="T16" s="228"/>
      <c r="U16" s="228"/>
      <c r="V16" s="228"/>
      <c r="W16" s="179"/>
      <c r="X16" s="174"/>
      <c r="Y16" s="171"/>
    </row>
    <row r="17" spans="1:24" ht="12.75" customHeight="1" x14ac:dyDescent="0.15">
      <c r="A17" s="3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8"/>
      <c r="S17" s="188"/>
      <c r="T17" s="188"/>
      <c r="U17" s="188"/>
      <c r="V17" s="188"/>
      <c r="W17" s="188"/>
      <c r="X17" s="188"/>
    </row>
    <row r="18" spans="1:24" ht="17.25" customHeight="1" x14ac:dyDescent="0.15">
      <c r="A18" s="3" t="s">
        <v>291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8"/>
      <c r="S18" s="188"/>
      <c r="T18" s="188"/>
      <c r="U18" s="188"/>
      <c r="V18" s="188"/>
      <c r="W18" s="188"/>
      <c r="X18" s="188"/>
    </row>
    <row r="19" spans="1:24" ht="17.25" customHeight="1" x14ac:dyDescent="0.15">
      <c r="B19" s="172" t="s">
        <v>420</v>
      </c>
    </row>
    <row r="20" spans="1:24" ht="17.25" customHeight="1" x14ac:dyDescent="0.15">
      <c r="B20" s="172" t="s">
        <v>430</v>
      </c>
    </row>
    <row r="21" spans="1:24" ht="14.25" customHeight="1" x14ac:dyDescent="0.15">
      <c r="B21" s="166" t="s">
        <v>180</v>
      </c>
      <c r="C21" s="167"/>
      <c r="D21" s="167" t="s">
        <v>320</v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91"/>
    </row>
    <row r="22" spans="1:24" ht="14.25" customHeight="1" x14ac:dyDescent="0.15">
      <c r="B22" s="192"/>
      <c r="C22" s="168" t="s">
        <v>234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93"/>
    </row>
    <row r="23" spans="1:24" ht="14.25" customHeight="1" x14ac:dyDescent="0.15">
      <c r="B23" s="192"/>
      <c r="C23" s="168" t="s">
        <v>235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93"/>
    </row>
    <row r="24" spans="1:24" ht="14.25" customHeight="1" x14ac:dyDescent="0.15">
      <c r="B24" s="194"/>
      <c r="C24" s="169"/>
      <c r="D24" s="169" t="s">
        <v>321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95"/>
    </row>
    <row r="25" spans="1:24" ht="9" customHeight="1" x14ac:dyDescent="0.15"/>
    <row r="26" spans="1:24" ht="17.25" customHeight="1" x14ac:dyDescent="0.15">
      <c r="A26" s="12" t="s">
        <v>393</v>
      </c>
    </row>
    <row r="27" spans="1:24" ht="17.25" customHeight="1" thickBot="1" x14ac:dyDescent="0.2">
      <c r="A27" s="464" t="s">
        <v>184</v>
      </c>
      <c r="B27" s="464"/>
      <c r="C27" s="464"/>
      <c r="D27" s="464"/>
      <c r="E27" s="464"/>
      <c r="F27" s="464"/>
      <c r="G27" s="464"/>
      <c r="H27" s="427" t="s">
        <v>188</v>
      </c>
      <c r="I27" s="427"/>
      <c r="J27" s="428"/>
      <c r="K27" s="426" t="s">
        <v>186</v>
      </c>
      <c r="L27" s="427"/>
      <c r="M27" s="428"/>
      <c r="N27" s="429" t="s">
        <v>187</v>
      </c>
      <c r="O27" s="430"/>
      <c r="P27" s="428"/>
      <c r="Q27" s="429" t="s">
        <v>183</v>
      </c>
      <c r="R27" s="430"/>
      <c r="S27" s="430"/>
      <c r="T27" s="428"/>
      <c r="U27" s="429" t="s">
        <v>189</v>
      </c>
      <c r="V27" s="430"/>
      <c r="W27" s="430"/>
      <c r="X27" s="428"/>
    </row>
    <row r="28" spans="1:24" ht="17.25" customHeight="1" thickBot="1" x14ac:dyDescent="0.2">
      <c r="A28" s="465" t="s">
        <v>181</v>
      </c>
      <c r="B28" s="466"/>
      <c r="C28" s="466"/>
      <c r="D28" s="466"/>
      <c r="E28" s="466"/>
      <c r="F28" s="466"/>
      <c r="G28" s="466"/>
      <c r="H28" s="437"/>
      <c r="I28" s="438"/>
      <c r="J28" s="196" t="s">
        <v>263</v>
      </c>
      <c r="K28" s="431"/>
      <c r="L28" s="432"/>
      <c r="M28" s="197" t="s">
        <v>236</v>
      </c>
      <c r="N28" s="441" t="s">
        <v>237</v>
      </c>
      <c r="O28" s="442"/>
      <c r="P28" s="443"/>
      <c r="Q28" s="411">
        <f>G73</f>
        <v>0</v>
      </c>
      <c r="R28" s="412"/>
      <c r="S28" s="413" t="s">
        <v>264</v>
      </c>
      <c r="T28" s="414"/>
      <c r="U28" s="411">
        <f>G76</f>
        <v>0</v>
      </c>
      <c r="V28" s="412"/>
      <c r="W28" s="413" t="s">
        <v>265</v>
      </c>
      <c r="X28" s="414"/>
    </row>
    <row r="29" spans="1:24" ht="17.25" customHeight="1" x14ac:dyDescent="0.15">
      <c r="A29" s="467" t="s">
        <v>410</v>
      </c>
      <c r="B29" s="415"/>
      <c r="C29" s="415"/>
      <c r="D29" s="415"/>
      <c r="E29" s="415"/>
      <c r="F29" s="415"/>
      <c r="G29" s="415"/>
      <c r="H29" s="439"/>
      <c r="I29" s="440"/>
      <c r="J29" s="198" t="s">
        <v>151</v>
      </c>
      <c r="K29" s="433"/>
      <c r="L29" s="434"/>
      <c r="M29" s="198" t="s">
        <v>151</v>
      </c>
      <c r="N29" s="437"/>
      <c r="O29" s="438"/>
      <c r="P29" s="199" t="s">
        <v>151</v>
      </c>
      <c r="Q29" s="406">
        <f>G116</f>
        <v>0</v>
      </c>
      <c r="R29" s="407"/>
      <c r="S29" s="415" t="s">
        <v>266</v>
      </c>
      <c r="T29" s="416"/>
      <c r="U29" s="406">
        <f>G119</f>
        <v>0</v>
      </c>
      <c r="V29" s="407"/>
      <c r="W29" s="415" t="s">
        <v>267</v>
      </c>
      <c r="X29" s="416"/>
    </row>
    <row r="30" spans="1:24" ht="17.25" customHeight="1" x14ac:dyDescent="0.15">
      <c r="A30" s="462" t="s">
        <v>411</v>
      </c>
      <c r="B30" s="463"/>
      <c r="C30" s="463"/>
      <c r="D30" s="463"/>
      <c r="E30" s="468" t="s">
        <v>305</v>
      </c>
      <c r="F30" s="468"/>
      <c r="G30" s="468"/>
      <c r="H30" s="435"/>
      <c r="I30" s="436"/>
      <c r="J30" s="198" t="s">
        <v>182</v>
      </c>
      <c r="K30" s="433"/>
      <c r="L30" s="434"/>
      <c r="M30" s="198" t="s">
        <v>238</v>
      </c>
      <c r="N30" s="439"/>
      <c r="O30" s="440"/>
      <c r="P30" s="199" t="s">
        <v>238</v>
      </c>
      <c r="Q30" s="406">
        <f>G161</f>
        <v>0</v>
      </c>
      <c r="R30" s="407"/>
      <c r="S30" s="415" t="s">
        <v>268</v>
      </c>
      <c r="T30" s="416"/>
      <c r="U30" s="406">
        <f>G164</f>
        <v>0</v>
      </c>
      <c r="V30" s="407"/>
      <c r="W30" s="415" t="s">
        <v>269</v>
      </c>
      <c r="X30" s="416"/>
    </row>
    <row r="31" spans="1:24" ht="17.25" customHeight="1" thickBot="1" x14ac:dyDescent="0.2">
      <c r="A31" s="462" t="s">
        <v>412</v>
      </c>
      <c r="B31" s="463"/>
      <c r="C31" s="463"/>
      <c r="D31" s="463"/>
      <c r="E31" s="468" t="s">
        <v>306</v>
      </c>
      <c r="F31" s="468"/>
      <c r="G31" s="468"/>
      <c r="H31" s="435"/>
      <c r="I31" s="436"/>
      <c r="J31" s="198" t="s">
        <v>182</v>
      </c>
      <c r="K31" s="446"/>
      <c r="L31" s="447"/>
      <c r="M31" s="198" t="s">
        <v>238</v>
      </c>
      <c r="N31" s="444"/>
      <c r="O31" s="445"/>
      <c r="P31" s="199" t="s">
        <v>238</v>
      </c>
      <c r="Q31" s="406">
        <f>G200</f>
        <v>0</v>
      </c>
      <c r="R31" s="407"/>
      <c r="S31" s="415" t="s">
        <v>268</v>
      </c>
      <c r="T31" s="416"/>
      <c r="U31" s="406">
        <f>G203</f>
        <v>0</v>
      </c>
      <c r="V31" s="407"/>
      <c r="W31" s="415" t="s">
        <v>269</v>
      </c>
      <c r="X31" s="416"/>
    </row>
    <row r="32" spans="1:24" ht="17.25" customHeight="1" x14ac:dyDescent="0.15">
      <c r="A32" s="467" t="s">
        <v>307</v>
      </c>
      <c r="B32" s="415"/>
      <c r="C32" s="415"/>
      <c r="D32" s="415"/>
      <c r="E32" s="415"/>
      <c r="F32" s="415"/>
      <c r="G32" s="415"/>
      <c r="H32" s="472"/>
      <c r="I32" s="473"/>
      <c r="J32" s="242"/>
      <c r="K32" s="202"/>
      <c r="L32" s="202"/>
      <c r="M32" s="203"/>
      <c r="N32" s="204"/>
      <c r="O32" s="202"/>
      <c r="P32" s="201"/>
      <c r="Q32" s="417"/>
      <c r="R32" s="418"/>
      <c r="S32" s="415" t="s">
        <v>270</v>
      </c>
      <c r="T32" s="415"/>
      <c r="U32" s="417"/>
      <c r="V32" s="418"/>
      <c r="W32" s="415" t="s">
        <v>271</v>
      </c>
      <c r="X32" s="416"/>
    </row>
    <row r="33" spans="1:29" ht="17.25" customHeight="1" x14ac:dyDescent="0.15">
      <c r="A33" s="467" t="s">
        <v>307</v>
      </c>
      <c r="B33" s="415"/>
      <c r="C33" s="415"/>
      <c r="D33" s="415"/>
      <c r="E33" s="415"/>
      <c r="F33" s="415"/>
      <c r="G33" s="415"/>
      <c r="H33" s="472"/>
      <c r="I33" s="473"/>
      <c r="J33" s="243"/>
      <c r="K33" s="201"/>
      <c r="L33" s="201"/>
      <c r="M33" s="203"/>
      <c r="N33" s="200"/>
      <c r="O33" s="201"/>
      <c r="P33" s="201"/>
      <c r="Q33" s="419"/>
      <c r="R33" s="420"/>
      <c r="S33" s="415" t="s">
        <v>270</v>
      </c>
      <c r="T33" s="415"/>
      <c r="U33" s="419"/>
      <c r="V33" s="420"/>
      <c r="W33" s="415" t="s">
        <v>271</v>
      </c>
      <c r="X33" s="416"/>
    </row>
    <row r="34" spans="1:29" ht="17.25" customHeight="1" thickBot="1" x14ac:dyDescent="0.2">
      <c r="A34" s="470" t="s">
        <v>307</v>
      </c>
      <c r="B34" s="471"/>
      <c r="C34" s="471"/>
      <c r="D34" s="471"/>
      <c r="E34" s="471"/>
      <c r="F34" s="471"/>
      <c r="G34" s="471"/>
      <c r="H34" s="474"/>
      <c r="I34" s="475"/>
      <c r="J34" s="244"/>
      <c r="K34" s="205"/>
      <c r="L34" s="205"/>
      <c r="M34" s="206"/>
      <c r="N34" s="207"/>
      <c r="O34" s="205"/>
      <c r="P34" s="205"/>
      <c r="Q34" s="409"/>
      <c r="R34" s="410"/>
      <c r="S34" s="421" t="s">
        <v>270</v>
      </c>
      <c r="T34" s="421"/>
      <c r="U34" s="409"/>
      <c r="V34" s="410"/>
      <c r="W34" s="421" t="s">
        <v>271</v>
      </c>
      <c r="X34" s="425"/>
    </row>
    <row r="35" spans="1:29" ht="17.25" customHeight="1" x14ac:dyDescent="0.15">
      <c r="A35" s="429" t="s">
        <v>5</v>
      </c>
      <c r="B35" s="430"/>
      <c r="C35" s="430"/>
      <c r="D35" s="430"/>
      <c r="E35" s="430"/>
      <c r="F35" s="430"/>
      <c r="G35" s="430"/>
      <c r="H35" s="469"/>
      <c r="I35" s="469"/>
      <c r="J35" s="469"/>
      <c r="K35" s="430"/>
      <c r="L35" s="430"/>
      <c r="M35" s="430"/>
      <c r="N35" s="430"/>
      <c r="O35" s="430"/>
      <c r="P35" s="428"/>
      <c r="Q35" s="455">
        <f>SUM(Q28:R29,Q30:R34)</f>
        <v>0</v>
      </c>
      <c r="R35" s="456"/>
      <c r="S35" s="390" t="s">
        <v>272</v>
      </c>
      <c r="T35" s="391"/>
      <c r="U35" s="453">
        <f>SUM(U28:V29,U30:V34)</f>
        <v>0</v>
      </c>
      <c r="V35" s="454"/>
      <c r="W35" s="390" t="s">
        <v>273</v>
      </c>
      <c r="X35" s="391"/>
    </row>
    <row r="36" spans="1:29" s="168" customFormat="1" ht="4.5" customHeight="1" thickBot="1" x14ac:dyDescent="0.2">
      <c r="A36" s="15"/>
      <c r="B36" s="208"/>
      <c r="C36" s="208"/>
      <c r="D36" s="208"/>
      <c r="E36" s="208"/>
      <c r="F36" s="208"/>
      <c r="G36" s="208"/>
      <c r="H36" s="209"/>
      <c r="I36" s="209"/>
      <c r="J36" s="208"/>
      <c r="K36" s="210"/>
      <c r="L36" s="210"/>
      <c r="M36" s="208"/>
      <c r="N36" s="210"/>
      <c r="O36" s="210"/>
      <c r="P36" s="208"/>
      <c r="Q36" s="211"/>
      <c r="R36" s="211"/>
      <c r="S36" s="208"/>
      <c r="T36" s="208"/>
      <c r="U36" s="211"/>
      <c r="V36" s="211"/>
      <c r="W36" s="208"/>
      <c r="X36" s="208"/>
      <c r="Y36" s="208"/>
    </row>
    <row r="37" spans="1:29" s="168" customFormat="1" ht="17.25" customHeight="1" thickBot="1" x14ac:dyDescent="0.2">
      <c r="A37" s="15"/>
      <c r="C37" s="459" t="s">
        <v>293</v>
      </c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7"/>
      <c r="O37" s="458"/>
      <c r="P37" s="210" t="s">
        <v>274</v>
      </c>
      <c r="Q37" s="211"/>
      <c r="R37" s="211"/>
      <c r="S37" s="208"/>
      <c r="T37" s="208"/>
      <c r="U37" s="211"/>
      <c r="V37" s="211"/>
      <c r="W37" s="208"/>
    </row>
    <row r="38" spans="1:29" s="168" customFormat="1" ht="17.25" customHeight="1" thickBot="1" x14ac:dyDescent="0.2">
      <c r="A38" s="15"/>
      <c r="C38" s="459" t="s">
        <v>309</v>
      </c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77" t="s">
        <v>310</v>
      </c>
      <c r="O38" s="477"/>
      <c r="P38" s="479"/>
      <c r="Q38" s="480"/>
      <c r="R38" s="210" t="s">
        <v>23</v>
      </c>
      <c r="S38" s="481" t="s">
        <v>311</v>
      </c>
      <c r="T38" s="481"/>
      <c r="U38" s="479"/>
      <c r="V38" s="480"/>
      <c r="W38" s="210" t="s">
        <v>23</v>
      </c>
    </row>
    <row r="39" spans="1:29" s="168" customFormat="1" ht="17.25" customHeight="1" thickBot="1" x14ac:dyDescent="0.2">
      <c r="A39" s="15"/>
      <c r="C39" s="459" t="s">
        <v>392</v>
      </c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78" t="s">
        <v>310</v>
      </c>
      <c r="O39" s="478"/>
      <c r="P39" s="479"/>
      <c r="Q39" s="480"/>
      <c r="R39" s="210" t="s">
        <v>23</v>
      </c>
      <c r="S39" s="481" t="s">
        <v>311</v>
      </c>
      <c r="T39" s="481"/>
      <c r="U39" s="479"/>
      <c r="V39" s="480"/>
      <c r="W39" s="210" t="s">
        <v>23</v>
      </c>
    </row>
    <row r="40" spans="1:29" ht="17.25" customHeight="1" x14ac:dyDescent="0.15">
      <c r="B40" s="168"/>
      <c r="C40" s="168" t="s">
        <v>308</v>
      </c>
      <c r="D40" s="168"/>
      <c r="E40" s="168"/>
      <c r="F40" s="168"/>
      <c r="G40" s="168"/>
      <c r="H40" s="181"/>
      <c r="I40" s="181"/>
      <c r="J40" s="181"/>
      <c r="K40" s="181"/>
      <c r="L40" s="181"/>
      <c r="M40" s="181"/>
      <c r="N40" s="208"/>
      <c r="O40" s="208"/>
      <c r="P40" s="208"/>
      <c r="Q40" s="211"/>
      <c r="R40" s="211"/>
      <c r="S40" s="208"/>
      <c r="T40" s="208"/>
      <c r="U40" s="211"/>
      <c r="V40" s="211"/>
      <c r="W40" s="208"/>
      <c r="X40" s="208"/>
      <c r="AC40" s="168"/>
    </row>
    <row r="41" spans="1:29" ht="7.5" customHeight="1" x14ac:dyDescent="0.15">
      <c r="B41" s="168"/>
      <c r="C41" s="168"/>
      <c r="D41" s="168"/>
      <c r="E41" s="168"/>
      <c r="F41" s="168"/>
      <c r="G41" s="168"/>
      <c r="H41" s="181"/>
      <c r="I41" s="181"/>
      <c r="J41" s="181"/>
      <c r="K41" s="181"/>
      <c r="L41" s="181"/>
      <c r="M41" s="181"/>
      <c r="N41" s="208"/>
      <c r="O41" s="208"/>
      <c r="P41" s="208"/>
      <c r="Q41" s="211"/>
      <c r="R41" s="211"/>
      <c r="S41" s="208"/>
      <c r="T41" s="208"/>
      <c r="U41" s="211"/>
      <c r="V41" s="211"/>
      <c r="W41" s="208"/>
      <c r="X41" s="208"/>
      <c r="AC41" s="168"/>
    </row>
    <row r="42" spans="1:29" ht="17.25" customHeight="1" x14ac:dyDescent="0.15">
      <c r="A42" s="3" t="s">
        <v>292</v>
      </c>
      <c r="B42" s="168"/>
      <c r="C42" s="168"/>
      <c r="D42" s="168"/>
      <c r="E42" s="168"/>
      <c r="F42" s="168"/>
      <c r="G42" s="168"/>
      <c r="H42" s="181"/>
      <c r="I42" s="181"/>
      <c r="J42" s="181"/>
      <c r="K42" s="181"/>
      <c r="L42" s="181"/>
      <c r="M42" s="181"/>
      <c r="N42" s="208"/>
      <c r="O42" s="208"/>
      <c r="P42" s="208"/>
      <c r="Q42" s="211"/>
      <c r="R42" s="211"/>
      <c r="S42" s="208"/>
      <c r="T42" s="208"/>
      <c r="U42" s="211"/>
      <c r="V42" s="211"/>
      <c r="W42" s="208"/>
      <c r="X42" s="208"/>
    </row>
    <row r="43" spans="1:29" ht="17.25" customHeight="1" x14ac:dyDescent="0.15">
      <c r="B43" s="188" t="s">
        <v>294</v>
      </c>
      <c r="D43" s="213"/>
      <c r="M43" s="212" t="s">
        <v>192</v>
      </c>
      <c r="N43" s="213" t="s">
        <v>29</v>
      </c>
      <c r="O43" s="172" t="s">
        <v>6</v>
      </c>
    </row>
    <row r="44" spans="1:29" ht="17.25" customHeight="1" x14ac:dyDescent="0.15">
      <c r="D44" s="180" t="s">
        <v>179</v>
      </c>
      <c r="E44" s="450" t="e">
        <f>G11</f>
        <v>#DIV/0!</v>
      </c>
      <c r="F44" s="450"/>
      <c r="G44" s="450"/>
      <c r="H44" s="359" t="s">
        <v>262</v>
      </c>
      <c r="I44" s="359"/>
      <c r="J44" s="185" t="s">
        <v>233</v>
      </c>
      <c r="K44" s="185"/>
      <c r="N44" s="213" t="s">
        <v>239</v>
      </c>
      <c r="O44" s="401">
        <f>Q35+U35</f>
        <v>0</v>
      </c>
      <c r="P44" s="401"/>
      <c r="Q44" s="401"/>
      <c r="R44" s="359" t="s">
        <v>272</v>
      </c>
      <c r="S44" s="359"/>
      <c r="U44" s="188" t="s">
        <v>240</v>
      </c>
    </row>
    <row r="45" spans="1:29" ht="10.5" customHeight="1" thickBot="1" x14ac:dyDescent="0.2">
      <c r="F45" s="213"/>
      <c r="G45" s="213"/>
      <c r="H45" s="213"/>
      <c r="I45" s="213"/>
      <c r="J45" s="213"/>
      <c r="K45" s="176"/>
      <c r="M45" s="188"/>
    </row>
    <row r="46" spans="1:29" ht="14.25" customHeight="1" thickTop="1" x14ac:dyDescent="0.15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5"/>
    </row>
    <row r="47" spans="1:29" ht="17.25" customHeight="1" x14ac:dyDescent="0.15">
      <c r="A47" s="236"/>
      <c r="B47" s="151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144"/>
      <c r="N47" s="144"/>
      <c r="O47" s="144"/>
      <c r="P47" s="163" t="s">
        <v>160</v>
      </c>
      <c r="Q47" s="163"/>
      <c r="R47" s="163"/>
      <c r="S47" s="381" t="e">
        <f>IF(G11&gt;O44,"①＞②","①＜②")</f>
        <v>#DIV/0!</v>
      </c>
      <c r="T47" s="381"/>
      <c r="U47" s="144"/>
      <c r="V47" s="144"/>
      <c r="W47" s="144"/>
      <c r="X47" s="148"/>
    </row>
    <row r="48" spans="1:29" ht="9.75" customHeight="1" thickBot="1" x14ac:dyDescent="0.2">
      <c r="A48" s="236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144"/>
      <c r="N48" s="144"/>
      <c r="O48" s="144"/>
      <c r="P48" s="144"/>
      <c r="Q48" s="60"/>
      <c r="R48" s="60"/>
      <c r="S48" s="60"/>
      <c r="T48" s="60"/>
      <c r="U48" s="60"/>
      <c r="V48" s="60"/>
      <c r="W48" s="60"/>
      <c r="X48" s="148"/>
    </row>
    <row r="49" spans="1:24" ht="27.75" customHeight="1" thickBot="1" x14ac:dyDescent="0.2">
      <c r="A49" s="237"/>
      <c r="B49" s="372" t="str">
        <f>IFERROR(IF(E44&gt;O44,"○",""),"")</f>
        <v/>
      </c>
      <c r="C49" s="373"/>
      <c r="D49" s="422" t="s">
        <v>289</v>
      </c>
      <c r="E49" s="423"/>
      <c r="F49" s="423"/>
      <c r="G49" s="423"/>
      <c r="H49" s="423"/>
      <c r="I49" s="423"/>
      <c r="J49" s="423"/>
      <c r="K49" s="423"/>
      <c r="L49" s="448"/>
      <c r="M49" s="372" t="str">
        <f>IFERROR(IF(E44&lt;O44,"○",""),"")</f>
        <v/>
      </c>
      <c r="N49" s="373"/>
      <c r="O49" s="422" t="s">
        <v>290</v>
      </c>
      <c r="P49" s="423"/>
      <c r="Q49" s="423"/>
      <c r="R49" s="423"/>
      <c r="S49" s="423"/>
      <c r="T49" s="423"/>
      <c r="U49" s="423"/>
      <c r="V49" s="423"/>
      <c r="W49" s="423"/>
      <c r="X49" s="424"/>
    </row>
    <row r="50" spans="1:24" ht="20.25" customHeight="1" x14ac:dyDescent="0.15">
      <c r="A50" s="237"/>
      <c r="B50" s="370" t="s">
        <v>285</v>
      </c>
      <c r="C50" s="370"/>
      <c r="D50" s="60"/>
      <c r="E50" s="60"/>
      <c r="F50" s="60"/>
      <c r="G50" s="60"/>
      <c r="H50" s="60"/>
      <c r="I50" s="60"/>
      <c r="J50" s="60"/>
      <c r="K50" s="60"/>
      <c r="L50" s="60"/>
      <c r="M50" s="370" t="s">
        <v>285</v>
      </c>
      <c r="N50" s="370"/>
      <c r="O50" s="60"/>
      <c r="P50" s="60"/>
      <c r="Q50" s="144"/>
      <c r="R50" s="144"/>
      <c r="S50" s="144"/>
      <c r="T50" s="144"/>
      <c r="U50" s="231"/>
      <c r="V50" s="231"/>
      <c r="W50" s="231"/>
      <c r="X50" s="148"/>
    </row>
    <row r="51" spans="1:24" ht="17.25" customHeight="1" x14ac:dyDescent="0.15">
      <c r="A51" s="237"/>
      <c r="B51" s="371" t="s">
        <v>190</v>
      </c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144" t="s">
        <v>171</v>
      </c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8"/>
    </row>
    <row r="52" spans="1:24" ht="17.25" customHeight="1" x14ac:dyDescent="0.15">
      <c r="A52" s="238"/>
      <c r="B52" s="60" t="s">
        <v>191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148"/>
    </row>
    <row r="53" spans="1:24" ht="17.25" customHeight="1" thickBot="1" x14ac:dyDescent="0.2">
      <c r="A53" s="239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149"/>
    </row>
    <row r="54" spans="1:24" ht="8.25" customHeight="1" thickTop="1" x14ac:dyDescent="0.15">
      <c r="A54" s="79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spans="1:24" s="12" customFormat="1" ht="21" customHeight="1" x14ac:dyDescent="0.15">
      <c r="A55" s="384" t="s">
        <v>122</v>
      </c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5" t="s">
        <v>165</v>
      </c>
      <c r="N55" s="386"/>
      <c r="O55" s="386"/>
      <c r="P55" s="386"/>
      <c r="Q55" s="386"/>
      <c r="R55" s="387"/>
      <c r="S55" s="170"/>
      <c r="T55" s="170"/>
      <c r="U55" s="382"/>
      <c r="V55" s="382"/>
      <c r="W55" s="382"/>
      <c r="X55" s="382"/>
    </row>
    <row r="56" spans="1:24" ht="20.25" customHeight="1" x14ac:dyDescent="0.15"/>
    <row r="57" spans="1:24" ht="20.25" customHeight="1" x14ac:dyDescent="0.15">
      <c r="A57" s="12" t="s">
        <v>194</v>
      </c>
      <c r="G57" s="12" t="s">
        <v>195</v>
      </c>
    </row>
    <row r="58" spans="1:24" ht="20.25" customHeight="1" x14ac:dyDescent="0.15">
      <c r="Q58" s="363" t="s">
        <v>295</v>
      </c>
      <c r="R58" s="364"/>
      <c r="S58" s="364"/>
      <c r="T58" s="364"/>
      <c r="U58" s="364"/>
      <c r="V58" s="364"/>
      <c r="W58" s="364"/>
      <c r="X58" s="365"/>
    </row>
    <row r="59" spans="1:24" ht="20.25" customHeight="1" x14ac:dyDescent="0.15">
      <c r="P59" s="168"/>
      <c r="Q59" s="226"/>
      <c r="R59" s="168"/>
      <c r="S59" s="168"/>
      <c r="T59" s="168"/>
      <c r="U59" s="168"/>
      <c r="V59" s="168"/>
      <c r="W59" s="168"/>
      <c r="X59" s="241"/>
    </row>
    <row r="60" spans="1:24" ht="20.25" customHeight="1" x14ac:dyDescent="0.15">
      <c r="B60" s="178" t="s">
        <v>196</v>
      </c>
      <c r="C60" s="178"/>
      <c r="D60" s="178"/>
      <c r="F60" s="177" t="s">
        <v>241</v>
      </c>
      <c r="G60" s="178" t="s">
        <v>197</v>
      </c>
      <c r="H60" s="178"/>
      <c r="I60" s="178"/>
      <c r="J60" s="178"/>
      <c r="Q60" s="226"/>
      <c r="R60" s="168"/>
      <c r="S60" s="168"/>
      <c r="T60" s="168"/>
      <c r="U60" s="168"/>
      <c r="V60" s="168"/>
      <c r="W60" s="168"/>
      <c r="X60" s="241"/>
    </row>
    <row r="61" spans="1:24" ht="20.25" customHeight="1" thickBot="1" x14ac:dyDescent="0.2">
      <c r="B61" s="178"/>
      <c r="C61" s="178"/>
      <c r="D61" s="178"/>
      <c r="F61" s="180" t="s">
        <v>242</v>
      </c>
      <c r="G61" s="403">
        <f>ROUND(U62*H67*3600/100,3)</f>
        <v>0.23200000000000001</v>
      </c>
      <c r="H61" s="403"/>
      <c r="I61" s="178"/>
      <c r="J61" s="178"/>
      <c r="Q61" s="226" t="s">
        <v>296</v>
      </c>
      <c r="R61" s="168"/>
      <c r="S61" s="168"/>
      <c r="T61" s="168"/>
      <c r="U61" s="168"/>
      <c r="V61" s="168"/>
      <c r="W61" s="168"/>
      <c r="X61" s="241"/>
    </row>
    <row r="62" spans="1:24" ht="20.25" customHeight="1" thickBot="1" x14ac:dyDescent="0.2">
      <c r="P62" s="168"/>
      <c r="Q62" s="226"/>
      <c r="R62" s="168"/>
      <c r="S62" s="168"/>
      <c r="T62" s="168"/>
      <c r="U62" s="399">
        <v>5.0000000000000001E-3</v>
      </c>
      <c r="V62" s="400"/>
      <c r="W62" s="168" t="s">
        <v>243</v>
      </c>
      <c r="X62" s="241"/>
    </row>
    <row r="63" spans="1:24" ht="20.25" customHeight="1" x14ac:dyDescent="0.15">
      <c r="G63" s="177"/>
      <c r="P63" s="168"/>
      <c r="Q63" s="397" t="s">
        <v>297</v>
      </c>
      <c r="R63" s="380"/>
      <c r="S63" s="380"/>
      <c r="T63" s="380"/>
      <c r="U63" s="380"/>
      <c r="V63" s="380"/>
      <c r="W63" s="380"/>
      <c r="X63" s="404"/>
    </row>
    <row r="64" spans="1:24" ht="20.25" customHeight="1" x14ac:dyDescent="0.15">
      <c r="G64" s="177"/>
      <c r="P64" s="168"/>
      <c r="Q64" s="397" t="s">
        <v>298</v>
      </c>
      <c r="R64" s="380"/>
      <c r="S64" s="380"/>
      <c r="T64" s="380"/>
      <c r="U64" s="380"/>
      <c r="V64" s="380"/>
      <c r="W64" s="380"/>
      <c r="X64" s="404"/>
    </row>
    <row r="65" spans="2:24" ht="20.25" customHeight="1" x14ac:dyDescent="0.15">
      <c r="D65" s="172" t="s">
        <v>208</v>
      </c>
      <c r="P65" s="168"/>
      <c r="Q65" s="226"/>
      <c r="R65" s="168"/>
      <c r="S65" s="168"/>
      <c r="T65" s="168"/>
      <c r="U65" s="168"/>
      <c r="V65" s="168"/>
      <c r="W65" s="168"/>
      <c r="X65" s="241"/>
    </row>
    <row r="66" spans="2:24" ht="20.25" customHeight="1" x14ac:dyDescent="0.15">
      <c r="G66" s="177" t="s">
        <v>209</v>
      </c>
      <c r="H66" s="172" t="s">
        <v>198</v>
      </c>
      <c r="P66" s="168"/>
      <c r="Q66" s="226"/>
      <c r="R66" s="168"/>
      <c r="S66" s="168"/>
      <c r="T66" s="273" t="s">
        <v>200</v>
      </c>
      <c r="U66" s="402">
        <v>1.4E-2</v>
      </c>
      <c r="V66" s="402"/>
      <c r="W66" s="168"/>
      <c r="X66" s="241"/>
    </row>
    <row r="67" spans="2:24" ht="20.25" customHeight="1" x14ac:dyDescent="0.15">
      <c r="G67" s="177" t="s">
        <v>210</v>
      </c>
      <c r="H67" s="401">
        <f>ROUND(U66*U67+U68,3)</f>
        <v>1.2869999999999999</v>
      </c>
      <c r="I67" s="401"/>
      <c r="J67" s="176" t="s">
        <v>275</v>
      </c>
      <c r="P67" s="168"/>
      <c r="Q67" s="226"/>
      <c r="R67" s="168"/>
      <c r="S67" s="168"/>
      <c r="T67" s="273" t="s">
        <v>202</v>
      </c>
      <c r="U67" s="393">
        <f>K28</f>
        <v>0</v>
      </c>
      <c r="V67" s="393"/>
      <c r="W67" s="168"/>
      <c r="X67" s="241"/>
    </row>
    <row r="68" spans="2:24" ht="20.25" customHeight="1" x14ac:dyDescent="0.15">
      <c r="E68" s="212"/>
      <c r="H68" s="213"/>
      <c r="P68" s="168"/>
      <c r="Q68" s="226"/>
      <c r="R68" s="168"/>
      <c r="S68" s="168"/>
      <c r="T68" s="273" t="s">
        <v>201</v>
      </c>
      <c r="U68" s="402">
        <v>1.2869999999999999</v>
      </c>
      <c r="V68" s="402"/>
      <c r="W68" s="168"/>
      <c r="X68" s="241"/>
    </row>
    <row r="69" spans="2:24" ht="20.25" customHeight="1" x14ac:dyDescent="0.15">
      <c r="B69" s="172" t="s">
        <v>203</v>
      </c>
      <c r="F69" s="177" t="s">
        <v>244</v>
      </c>
      <c r="G69" s="178" t="s">
        <v>205</v>
      </c>
      <c r="H69" s="178"/>
      <c r="P69" s="168"/>
      <c r="Q69" s="226"/>
      <c r="R69" s="168"/>
      <c r="S69" s="168"/>
      <c r="T69" s="168"/>
      <c r="U69" s="168"/>
      <c r="V69" s="168"/>
      <c r="W69" s="168"/>
      <c r="X69" s="241"/>
    </row>
    <row r="70" spans="2:24" ht="20.25" customHeight="1" x14ac:dyDescent="0.15">
      <c r="F70" s="180" t="s">
        <v>179</v>
      </c>
      <c r="G70" s="403">
        <f>ROUND(G61*U70,3)</f>
        <v>0.188</v>
      </c>
      <c r="H70" s="403"/>
      <c r="P70" s="168"/>
      <c r="Q70" s="226"/>
      <c r="R70" s="168"/>
      <c r="S70" s="168"/>
      <c r="T70" s="273" t="s">
        <v>204</v>
      </c>
      <c r="U70" s="362">
        <v>0.81</v>
      </c>
      <c r="V70" s="362"/>
      <c r="W70" s="168"/>
      <c r="X70" s="241"/>
    </row>
    <row r="71" spans="2:24" ht="20.25" customHeight="1" x14ac:dyDescent="0.15">
      <c r="P71" s="168"/>
      <c r="Q71" s="226"/>
      <c r="R71" s="168"/>
      <c r="S71" s="168"/>
      <c r="T71" s="168"/>
      <c r="U71" s="168"/>
      <c r="V71" s="168"/>
      <c r="W71" s="168"/>
      <c r="X71" s="241"/>
    </row>
    <row r="72" spans="2:24" ht="20.25" customHeight="1" x14ac:dyDescent="0.15">
      <c r="B72" s="172" t="s">
        <v>183</v>
      </c>
      <c r="F72" s="213" t="s">
        <v>30</v>
      </c>
      <c r="G72" s="172" t="s">
        <v>206</v>
      </c>
      <c r="P72" s="168"/>
      <c r="Q72" s="226"/>
      <c r="R72" s="168"/>
      <c r="S72" s="168"/>
      <c r="T72" s="273" t="s">
        <v>207</v>
      </c>
      <c r="U72" s="408">
        <f>H28</f>
        <v>0</v>
      </c>
      <c r="V72" s="408"/>
      <c r="W72" s="168" t="s">
        <v>276</v>
      </c>
      <c r="X72" s="241"/>
    </row>
    <row r="73" spans="2:24" ht="20.25" customHeight="1" x14ac:dyDescent="0.15">
      <c r="F73" s="213" t="s">
        <v>245</v>
      </c>
      <c r="G73" s="392">
        <f>G70*U72</f>
        <v>0</v>
      </c>
      <c r="H73" s="392"/>
      <c r="I73" s="362" t="s">
        <v>277</v>
      </c>
      <c r="J73" s="362"/>
      <c r="P73" s="168"/>
      <c r="Q73" s="226"/>
      <c r="R73" s="168"/>
      <c r="S73" s="168"/>
      <c r="T73" s="168"/>
      <c r="U73" s="168"/>
      <c r="V73" s="168"/>
      <c r="W73" s="168"/>
      <c r="X73" s="241"/>
    </row>
    <row r="74" spans="2:24" ht="20.25" customHeight="1" thickBot="1" x14ac:dyDescent="0.2">
      <c r="P74" s="168"/>
      <c r="Q74" s="226"/>
      <c r="R74" s="168"/>
      <c r="S74" s="168"/>
      <c r="T74" s="168"/>
      <c r="U74" s="168"/>
      <c r="V74" s="168"/>
      <c r="W74" s="168"/>
      <c r="X74" s="241"/>
    </row>
    <row r="75" spans="2:24" ht="20.25" customHeight="1" thickBot="1" x14ac:dyDescent="0.2">
      <c r="B75" s="172" t="s">
        <v>189</v>
      </c>
      <c r="F75" s="213" t="s">
        <v>246</v>
      </c>
      <c r="G75" s="172" t="s">
        <v>211</v>
      </c>
      <c r="P75" s="168"/>
      <c r="Q75" s="226"/>
      <c r="R75" s="168"/>
      <c r="S75" s="168"/>
      <c r="T75" s="273" t="s">
        <v>212</v>
      </c>
      <c r="U75" s="460">
        <v>0.1</v>
      </c>
      <c r="V75" s="461"/>
      <c r="W75" s="168"/>
      <c r="X75" s="241"/>
    </row>
    <row r="76" spans="2:24" ht="20.25" customHeight="1" x14ac:dyDescent="0.15">
      <c r="F76" s="213" t="s">
        <v>247</v>
      </c>
      <c r="G76" s="392">
        <f>ROUND(K28*U72*U75,3)</f>
        <v>0</v>
      </c>
      <c r="H76" s="392"/>
      <c r="I76" s="362" t="s">
        <v>278</v>
      </c>
      <c r="J76" s="362"/>
      <c r="P76" s="168"/>
      <c r="Q76" s="226"/>
      <c r="R76" s="168"/>
      <c r="S76" s="168"/>
      <c r="T76" s="168"/>
      <c r="U76" s="168"/>
      <c r="V76" s="168"/>
      <c r="W76" s="168"/>
      <c r="X76" s="241"/>
    </row>
    <row r="77" spans="2:24" ht="20.25" customHeight="1" x14ac:dyDescent="0.15">
      <c r="P77" s="168"/>
      <c r="Q77" s="226"/>
      <c r="R77" s="168"/>
      <c r="S77" s="168"/>
      <c r="T77" s="168"/>
      <c r="U77" s="168"/>
      <c r="V77" s="168"/>
      <c r="W77" s="168"/>
      <c r="X77" s="241"/>
    </row>
    <row r="78" spans="2:24" ht="20.25" customHeight="1" x14ac:dyDescent="0.15">
      <c r="P78" s="168"/>
      <c r="Q78" s="226"/>
      <c r="R78" s="168"/>
      <c r="S78" s="168"/>
      <c r="T78" s="168"/>
      <c r="U78" s="168"/>
      <c r="V78" s="168"/>
      <c r="W78" s="168"/>
      <c r="X78" s="241"/>
    </row>
    <row r="79" spans="2:24" ht="20.25" customHeight="1" x14ac:dyDescent="0.15">
      <c r="P79" s="168"/>
      <c r="Q79" s="226"/>
      <c r="R79" s="168"/>
      <c r="S79" s="168"/>
      <c r="T79" s="168"/>
      <c r="U79" s="168"/>
      <c r="V79" s="168"/>
      <c r="W79" s="168"/>
      <c r="X79" s="241"/>
    </row>
    <row r="80" spans="2:24" ht="20.25" customHeight="1" x14ac:dyDescent="0.15">
      <c r="P80" s="168"/>
      <c r="Q80" s="226"/>
      <c r="R80" s="168"/>
      <c r="S80" s="168"/>
      <c r="T80" s="168"/>
      <c r="U80" s="168"/>
      <c r="V80" s="168"/>
      <c r="W80" s="168"/>
      <c r="X80" s="241"/>
    </row>
    <row r="81" spans="1:24" ht="20.25" customHeight="1" x14ac:dyDescent="0.15">
      <c r="P81" s="168"/>
      <c r="Q81" s="226"/>
      <c r="R81" s="168"/>
      <c r="S81" s="168"/>
      <c r="T81" s="168"/>
      <c r="U81" s="168"/>
      <c r="V81" s="168"/>
      <c r="W81" s="168"/>
      <c r="X81" s="241"/>
    </row>
    <row r="82" spans="1:24" ht="20.25" customHeight="1" x14ac:dyDescent="0.15">
      <c r="P82" s="168"/>
      <c r="Q82" s="226"/>
      <c r="R82" s="168"/>
      <c r="S82" s="168"/>
      <c r="T82" s="168"/>
      <c r="U82" s="168"/>
      <c r="V82" s="168"/>
      <c r="W82" s="168"/>
      <c r="X82" s="241"/>
    </row>
    <row r="83" spans="1:24" ht="20.25" customHeight="1" x14ac:dyDescent="0.15">
      <c r="P83" s="168"/>
      <c r="Q83" s="226"/>
      <c r="R83" s="168"/>
      <c r="S83" s="168"/>
      <c r="T83" s="168"/>
      <c r="U83" s="168"/>
      <c r="V83" s="168"/>
      <c r="W83" s="168"/>
      <c r="X83" s="241"/>
    </row>
    <row r="84" spans="1:24" ht="20.25" customHeight="1" x14ac:dyDescent="0.15">
      <c r="P84" s="168"/>
      <c r="Q84" s="226"/>
      <c r="R84" s="168"/>
      <c r="S84" s="168"/>
      <c r="T84" s="168"/>
      <c r="U84" s="168"/>
      <c r="V84" s="168"/>
      <c r="W84" s="168"/>
      <c r="X84" s="241"/>
    </row>
    <row r="85" spans="1:24" ht="20.25" customHeight="1" x14ac:dyDescent="0.15">
      <c r="P85" s="168"/>
      <c r="Q85" s="226"/>
      <c r="R85" s="168"/>
      <c r="S85" s="168"/>
      <c r="T85" s="168"/>
      <c r="U85" s="168"/>
      <c r="V85" s="168"/>
      <c r="W85" s="168"/>
      <c r="X85" s="241"/>
    </row>
    <row r="86" spans="1:24" ht="20.25" customHeight="1" x14ac:dyDescent="0.15">
      <c r="P86" s="168"/>
      <c r="Q86" s="226"/>
      <c r="R86" s="168"/>
      <c r="S86" s="168"/>
      <c r="T86" s="168"/>
      <c r="U86" s="168"/>
      <c r="V86" s="168"/>
      <c r="W86" s="168"/>
      <c r="X86" s="241"/>
    </row>
    <row r="87" spans="1:24" ht="20.25" customHeight="1" x14ac:dyDescent="0.15">
      <c r="P87" s="168"/>
      <c r="Q87" s="226"/>
      <c r="R87" s="168"/>
      <c r="S87" s="168"/>
      <c r="T87" s="168"/>
      <c r="U87" s="168"/>
      <c r="V87" s="168"/>
      <c r="W87" s="168"/>
      <c r="X87" s="241"/>
    </row>
    <row r="88" spans="1:24" ht="20.25" customHeight="1" x14ac:dyDescent="0.15">
      <c r="P88" s="168"/>
      <c r="Q88" s="226"/>
      <c r="R88" s="168"/>
      <c r="S88" s="168"/>
      <c r="T88" s="168"/>
      <c r="U88" s="168"/>
      <c r="V88" s="168"/>
      <c r="W88" s="168"/>
      <c r="X88" s="241"/>
    </row>
    <row r="89" spans="1:24" ht="20.25" customHeight="1" x14ac:dyDescent="0.15">
      <c r="P89" s="168"/>
      <c r="Q89" s="226"/>
      <c r="R89" s="168"/>
      <c r="S89" s="168"/>
      <c r="T89" s="168"/>
      <c r="U89" s="168"/>
      <c r="V89" s="168"/>
      <c r="W89" s="168"/>
      <c r="X89" s="241"/>
    </row>
    <row r="90" spans="1:24" ht="20.25" customHeight="1" x14ac:dyDescent="0.15">
      <c r="P90" s="168"/>
      <c r="Q90" s="226"/>
      <c r="R90" s="168"/>
      <c r="S90" s="168"/>
      <c r="T90" s="168"/>
      <c r="U90" s="168"/>
      <c r="V90" s="168"/>
      <c r="W90" s="168"/>
      <c r="X90" s="241"/>
    </row>
    <row r="91" spans="1:24" ht="20.25" customHeight="1" x14ac:dyDescent="0.15">
      <c r="P91" s="168"/>
      <c r="Q91" s="226"/>
      <c r="R91" s="168"/>
      <c r="S91" s="168"/>
      <c r="T91" s="168"/>
      <c r="U91" s="168"/>
      <c r="V91" s="168"/>
      <c r="W91" s="168"/>
      <c r="X91" s="241"/>
    </row>
    <row r="92" spans="1:24" ht="20.25" customHeight="1" x14ac:dyDescent="0.15">
      <c r="P92" s="168"/>
      <c r="Q92" s="226"/>
      <c r="R92" s="168"/>
      <c r="S92" s="168"/>
      <c r="T92" s="168"/>
      <c r="U92" s="168"/>
      <c r="V92" s="168"/>
      <c r="W92" s="168"/>
      <c r="X92" s="241"/>
    </row>
    <row r="93" spans="1:24" ht="20.25" customHeight="1" x14ac:dyDescent="0.15">
      <c r="P93" s="168"/>
      <c r="Q93" s="270"/>
      <c r="R93" s="227"/>
      <c r="S93" s="227"/>
      <c r="T93" s="227"/>
      <c r="U93" s="227"/>
      <c r="V93" s="227"/>
      <c r="W93" s="227"/>
      <c r="X93" s="271"/>
    </row>
    <row r="94" spans="1:24" ht="20.25" customHeight="1" x14ac:dyDescent="0.15">
      <c r="P94" s="168"/>
    </row>
    <row r="95" spans="1:24" ht="20.25" customHeight="1" x14ac:dyDescent="0.15">
      <c r="P95" s="168"/>
    </row>
    <row r="96" spans="1:24" s="12" customFormat="1" ht="20.25" customHeight="1" x14ac:dyDescent="0.15">
      <c r="A96" s="384" t="s">
        <v>122</v>
      </c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5" t="s">
        <v>165</v>
      </c>
      <c r="N96" s="386"/>
      <c r="O96" s="386"/>
      <c r="P96" s="386"/>
      <c r="Q96" s="386"/>
      <c r="R96" s="387"/>
      <c r="S96" s="170"/>
      <c r="T96" s="170"/>
      <c r="U96" s="382"/>
      <c r="V96" s="382"/>
      <c r="W96" s="382"/>
      <c r="X96" s="382"/>
    </row>
    <row r="97" spans="1:24" ht="20.25" customHeight="1" x14ac:dyDescent="0.15"/>
    <row r="98" spans="1:24" ht="20.25" customHeight="1" x14ac:dyDescent="0.15">
      <c r="A98" s="12" t="s">
        <v>194</v>
      </c>
      <c r="G98" s="12" t="s">
        <v>213</v>
      </c>
    </row>
    <row r="99" spans="1:24" ht="20.25" customHeight="1" x14ac:dyDescent="0.15">
      <c r="G99" s="168"/>
      <c r="H99" s="168"/>
      <c r="I99" s="168"/>
      <c r="J99" s="168"/>
      <c r="K99" s="168"/>
      <c r="L99" s="168"/>
      <c r="M99" s="168"/>
      <c r="N99" s="168"/>
      <c r="O99" s="168"/>
      <c r="P99" s="241"/>
      <c r="Q99" s="363" t="s">
        <v>295</v>
      </c>
      <c r="R99" s="364"/>
      <c r="S99" s="364"/>
      <c r="T99" s="364"/>
      <c r="U99" s="364"/>
      <c r="V99" s="364"/>
      <c r="W99" s="364"/>
      <c r="X99" s="365"/>
    </row>
    <row r="100" spans="1:24" ht="20.25" customHeight="1" x14ac:dyDescent="0.15">
      <c r="A100" s="172"/>
      <c r="G100" s="168"/>
      <c r="H100" s="168"/>
      <c r="I100" s="168"/>
      <c r="J100" s="168"/>
      <c r="K100" s="168"/>
      <c r="L100" s="168"/>
      <c r="M100" s="168"/>
      <c r="N100" s="168"/>
      <c r="O100" s="168"/>
      <c r="P100" s="241"/>
      <c r="Q100" s="168"/>
      <c r="R100" s="168"/>
      <c r="S100" s="168"/>
      <c r="T100" s="168"/>
      <c r="U100" s="168"/>
      <c r="V100" s="168"/>
      <c r="W100" s="168"/>
      <c r="X100" s="241"/>
    </row>
    <row r="101" spans="1:24" ht="20.25" customHeight="1" x14ac:dyDescent="0.15">
      <c r="B101" s="178" t="s">
        <v>196</v>
      </c>
      <c r="C101" s="178"/>
      <c r="D101" s="178"/>
      <c r="F101" s="177" t="s">
        <v>241</v>
      </c>
      <c r="G101" s="208" t="s">
        <v>197</v>
      </c>
      <c r="H101" s="208"/>
      <c r="I101" s="208"/>
      <c r="J101" s="20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241"/>
    </row>
    <row r="102" spans="1:24" ht="20.25" customHeight="1" thickBot="1" x14ac:dyDescent="0.2">
      <c r="B102" s="178"/>
      <c r="C102" s="178"/>
      <c r="D102" s="178"/>
      <c r="F102" s="180" t="s">
        <v>242</v>
      </c>
      <c r="G102" s="392">
        <f>ROUND(U103*H108*3600/100,3)</f>
        <v>0.122</v>
      </c>
      <c r="H102" s="392"/>
      <c r="I102" s="208"/>
      <c r="J102" s="208"/>
      <c r="K102" s="168"/>
      <c r="L102" s="168"/>
      <c r="M102" s="168"/>
      <c r="N102" s="168"/>
      <c r="O102" s="168"/>
      <c r="P102" s="168"/>
      <c r="Q102" s="226" t="s">
        <v>296</v>
      </c>
      <c r="R102" s="168"/>
      <c r="S102" s="168"/>
      <c r="T102" s="168"/>
      <c r="U102" s="168"/>
      <c r="V102" s="168"/>
      <c r="W102" s="168"/>
      <c r="X102" s="241"/>
    </row>
    <row r="103" spans="1:24" ht="20.25" customHeight="1" thickBot="1" x14ac:dyDescent="0.2"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226"/>
      <c r="R103" s="168"/>
      <c r="S103" s="168"/>
      <c r="T103" s="168"/>
      <c r="U103" s="399">
        <v>5.0000000000000001E-3</v>
      </c>
      <c r="V103" s="400"/>
      <c r="W103" s="168" t="s">
        <v>243</v>
      </c>
      <c r="X103" s="241"/>
    </row>
    <row r="104" spans="1:24" ht="20.25" customHeight="1" x14ac:dyDescent="0.15">
      <c r="G104" s="272"/>
      <c r="H104" s="168"/>
      <c r="I104" s="168"/>
      <c r="J104" s="168"/>
      <c r="K104" s="168"/>
      <c r="L104" s="168"/>
      <c r="M104" s="168"/>
      <c r="N104" s="168"/>
      <c r="O104" s="168"/>
      <c r="P104" s="168"/>
      <c r="Q104" s="397" t="s">
        <v>297</v>
      </c>
      <c r="R104" s="380"/>
      <c r="S104" s="380"/>
      <c r="T104" s="380"/>
      <c r="U104" s="380"/>
      <c r="V104" s="380"/>
      <c r="W104" s="380"/>
      <c r="X104" s="404"/>
    </row>
    <row r="105" spans="1:24" ht="20.25" customHeight="1" x14ac:dyDescent="0.15">
      <c r="G105" s="272"/>
      <c r="H105" s="168"/>
      <c r="I105" s="168"/>
      <c r="J105" s="168"/>
      <c r="K105" s="168"/>
      <c r="L105" s="168"/>
      <c r="M105" s="168"/>
      <c r="N105" s="168"/>
      <c r="O105" s="168"/>
      <c r="P105" s="168"/>
      <c r="Q105" s="397" t="s">
        <v>298</v>
      </c>
      <c r="R105" s="380"/>
      <c r="S105" s="380"/>
      <c r="T105" s="380"/>
      <c r="U105" s="380"/>
      <c r="V105" s="380"/>
      <c r="W105" s="380"/>
      <c r="X105" s="404"/>
    </row>
    <row r="106" spans="1:24" ht="20.25" customHeight="1" x14ac:dyDescent="0.15">
      <c r="D106" s="172" t="s">
        <v>208</v>
      </c>
      <c r="G106" s="168"/>
      <c r="H106" s="168"/>
      <c r="I106" s="168"/>
      <c r="J106" s="168"/>
      <c r="K106" s="168"/>
      <c r="L106" s="168"/>
      <c r="M106" s="168"/>
      <c r="N106" s="168"/>
      <c r="O106" s="168"/>
      <c r="P106" s="241"/>
      <c r="Q106" s="168"/>
      <c r="R106" s="168"/>
      <c r="S106" s="168"/>
      <c r="T106" s="168"/>
      <c r="U106" s="168"/>
      <c r="V106" s="168"/>
      <c r="W106" s="168"/>
      <c r="X106" s="241"/>
    </row>
    <row r="107" spans="1:24" ht="20.25" customHeight="1" x14ac:dyDescent="0.15">
      <c r="G107" s="272" t="s">
        <v>209</v>
      </c>
      <c r="H107" s="168" t="s">
        <v>198</v>
      </c>
      <c r="I107" s="168"/>
      <c r="J107" s="168"/>
      <c r="K107" s="168"/>
      <c r="L107" s="168"/>
      <c r="M107" s="168"/>
      <c r="N107" s="168"/>
      <c r="O107" s="168"/>
      <c r="P107" s="241"/>
      <c r="Q107" s="168"/>
      <c r="R107" s="168"/>
      <c r="S107" s="168"/>
      <c r="T107" s="273" t="s">
        <v>200</v>
      </c>
      <c r="U107" s="402">
        <v>3.093</v>
      </c>
      <c r="V107" s="402"/>
      <c r="W107" s="168"/>
      <c r="X107" s="241"/>
    </row>
    <row r="108" spans="1:24" ht="20.25" customHeight="1" x14ac:dyDescent="0.15">
      <c r="G108" s="272" t="s">
        <v>210</v>
      </c>
      <c r="H108" s="401">
        <f>ROUND(U107*U108+I110,3)</f>
        <v>0.67700000000000005</v>
      </c>
      <c r="I108" s="401"/>
      <c r="J108" s="173" t="s">
        <v>275</v>
      </c>
      <c r="K108" s="168"/>
      <c r="L108" s="168"/>
      <c r="M108" s="168"/>
      <c r="N108" s="168"/>
      <c r="O108" s="168"/>
      <c r="P108" s="241"/>
      <c r="Q108" s="168"/>
      <c r="R108" s="168"/>
      <c r="S108" s="168"/>
      <c r="T108" s="273" t="s">
        <v>202</v>
      </c>
      <c r="U108" s="393">
        <f>K29</f>
        <v>0</v>
      </c>
      <c r="V108" s="393"/>
      <c r="W108" s="168"/>
      <c r="X108" s="241"/>
    </row>
    <row r="109" spans="1:24" ht="20.25" customHeight="1" x14ac:dyDescent="0.15">
      <c r="E109" s="212"/>
      <c r="F109" s="172" t="s">
        <v>214</v>
      </c>
      <c r="G109" s="273"/>
      <c r="H109" s="189" t="s">
        <v>210</v>
      </c>
      <c r="I109" s="208" t="s">
        <v>215</v>
      </c>
      <c r="J109" s="168"/>
      <c r="K109" s="168"/>
      <c r="L109" s="168"/>
      <c r="M109" s="168"/>
      <c r="N109" s="168"/>
      <c r="O109" s="168"/>
      <c r="P109" s="241"/>
      <c r="Q109" s="168"/>
      <c r="R109" s="168"/>
      <c r="S109" s="168"/>
      <c r="T109" s="273" t="s">
        <v>216</v>
      </c>
      <c r="U109" s="393">
        <f>N29</f>
        <v>0</v>
      </c>
      <c r="V109" s="393"/>
      <c r="W109" s="168"/>
      <c r="X109" s="241"/>
    </row>
    <row r="110" spans="1:24" ht="20.25" customHeight="1" x14ac:dyDescent="0.15">
      <c r="G110" s="168"/>
      <c r="H110" s="189" t="s">
        <v>30</v>
      </c>
      <c r="I110" s="392">
        <f>ROUND(1.34*U109+0.677,3)</f>
        <v>0.67700000000000005</v>
      </c>
      <c r="J110" s="392"/>
      <c r="K110" s="168"/>
      <c r="L110" s="168"/>
      <c r="M110" s="168"/>
      <c r="N110" s="168"/>
      <c r="O110" s="168"/>
      <c r="P110" s="241"/>
      <c r="Q110" s="168"/>
      <c r="R110" s="168"/>
      <c r="S110" s="168"/>
      <c r="T110" s="168"/>
      <c r="U110" s="168"/>
      <c r="V110" s="168"/>
      <c r="W110" s="168"/>
      <c r="X110" s="241"/>
    </row>
    <row r="111" spans="1:24" ht="20.25" customHeight="1" x14ac:dyDescent="0.15">
      <c r="G111" s="168"/>
      <c r="H111" s="168"/>
      <c r="I111" s="168"/>
      <c r="J111" s="168"/>
      <c r="K111" s="168"/>
      <c r="L111" s="168"/>
      <c r="M111" s="168"/>
      <c r="N111" s="168"/>
      <c r="O111" s="168"/>
      <c r="P111" s="241"/>
      <c r="Q111" s="168"/>
      <c r="R111" s="168"/>
      <c r="S111" s="168"/>
      <c r="T111" s="168"/>
      <c r="U111" s="168"/>
      <c r="V111" s="168"/>
      <c r="W111" s="168"/>
      <c r="X111" s="241"/>
    </row>
    <row r="112" spans="1:24" ht="20.25" customHeight="1" x14ac:dyDescent="0.15">
      <c r="B112" s="172" t="s">
        <v>203</v>
      </c>
      <c r="F112" s="177" t="s">
        <v>244</v>
      </c>
      <c r="G112" s="208" t="s">
        <v>205</v>
      </c>
      <c r="H112" s="208"/>
      <c r="I112" s="168"/>
      <c r="J112" s="168"/>
      <c r="K112" s="168"/>
      <c r="L112" s="168"/>
      <c r="M112" s="168"/>
      <c r="N112" s="168"/>
      <c r="O112" s="168"/>
      <c r="P112" s="241"/>
      <c r="Q112" s="168"/>
      <c r="R112" s="168"/>
      <c r="S112" s="168"/>
      <c r="T112" s="168"/>
      <c r="U112" s="168"/>
      <c r="V112" s="168"/>
      <c r="W112" s="168"/>
      <c r="X112" s="241"/>
    </row>
    <row r="113" spans="2:24" ht="20.25" customHeight="1" x14ac:dyDescent="0.15">
      <c r="F113" s="180" t="s">
        <v>179</v>
      </c>
      <c r="G113" s="392">
        <f>ROUND(G102*U113,3)</f>
        <v>9.9000000000000005E-2</v>
      </c>
      <c r="H113" s="392"/>
      <c r="I113" s="168"/>
      <c r="J113" s="168"/>
      <c r="K113" s="168"/>
      <c r="L113" s="168"/>
      <c r="M113" s="168"/>
      <c r="N113" s="168"/>
      <c r="O113" s="168"/>
      <c r="P113" s="241"/>
      <c r="Q113" s="168"/>
      <c r="R113" s="168"/>
      <c r="S113" s="168"/>
      <c r="T113" s="273" t="s">
        <v>204</v>
      </c>
      <c r="U113" s="362">
        <v>0.81</v>
      </c>
      <c r="V113" s="362"/>
      <c r="W113" s="168"/>
      <c r="X113" s="241"/>
    </row>
    <row r="114" spans="2:24" ht="20.25" customHeight="1" x14ac:dyDescent="0.15">
      <c r="G114" s="168"/>
      <c r="H114" s="168"/>
      <c r="I114" s="168"/>
      <c r="J114" s="168"/>
      <c r="K114" s="168"/>
      <c r="L114" s="168"/>
      <c r="M114" s="168"/>
      <c r="N114" s="168"/>
      <c r="O114" s="168"/>
      <c r="P114" s="241"/>
      <c r="Q114" s="168"/>
      <c r="R114" s="168"/>
      <c r="S114" s="168"/>
      <c r="T114" s="168"/>
      <c r="U114" s="168"/>
      <c r="V114" s="168"/>
      <c r="W114" s="168"/>
      <c r="X114" s="241"/>
    </row>
    <row r="115" spans="2:24" ht="20.25" customHeight="1" x14ac:dyDescent="0.15">
      <c r="B115" s="172" t="s">
        <v>183</v>
      </c>
      <c r="F115" s="213" t="s">
        <v>30</v>
      </c>
      <c r="G115" s="168" t="s">
        <v>206</v>
      </c>
      <c r="H115" s="168"/>
      <c r="I115" s="168"/>
      <c r="J115" s="168"/>
      <c r="K115" s="168"/>
      <c r="L115" s="168"/>
      <c r="M115" s="168"/>
      <c r="N115" s="168"/>
      <c r="O115" s="168"/>
      <c r="P115" s="241"/>
      <c r="Q115" s="168"/>
      <c r="R115" s="168"/>
      <c r="S115" s="168"/>
      <c r="T115" s="273" t="s">
        <v>207</v>
      </c>
      <c r="U115" s="408">
        <f>H29</f>
        <v>0</v>
      </c>
      <c r="V115" s="408"/>
      <c r="W115" s="168" t="s">
        <v>248</v>
      </c>
      <c r="X115" s="241"/>
    </row>
    <row r="116" spans="2:24" ht="20.25" customHeight="1" x14ac:dyDescent="0.15">
      <c r="F116" s="213" t="s">
        <v>245</v>
      </c>
      <c r="G116" s="392">
        <f>G113*U115</f>
        <v>0</v>
      </c>
      <c r="H116" s="392"/>
      <c r="I116" s="362" t="s">
        <v>277</v>
      </c>
      <c r="J116" s="362"/>
      <c r="K116" s="168"/>
      <c r="L116" s="168"/>
      <c r="M116" s="168"/>
      <c r="N116" s="168"/>
      <c r="O116" s="168"/>
      <c r="P116" s="241"/>
      <c r="Q116" s="168"/>
      <c r="R116" s="168"/>
      <c r="S116" s="168"/>
      <c r="T116" s="168"/>
      <c r="U116" s="168"/>
      <c r="V116" s="168"/>
      <c r="W116" s="168"/>
      <c r="X116" s="241"/>
    </row>
    <row r="117" spans="2:24" ht="20.25" customHeight="1" x14ac:dyDescent="0.15">
      <c r="G117" s="168"/>
      <c r="H117" s="168"/>
      <c r="I117" s="168"/>
      <c r="J117" s="168"/>
      <c r="K117" s="168"/>
      <c r="L117" s="168"/>
      <c r="M117" s="168"/>
      <c r="N117" s="168"/>
      <c r="O117" s="168"/>
      <c r="P117" s="241"/>
      <c r="Q117" s="168"/>
      <c r="R117" s="168"/>
      <c r="S117" s="168"/>
      <c r="T117" s="168"/>
      <c r="U117" s="168"/>
      <c r="V117" s="168"/>
      <c r="W117" s="168"/>
      <c r="X117" s="241"/>
    </row>
    <row r="118" spans="2:24" ht="20.25" customHeight="1" x14ac:dyDescent="0.15">
      <c r="B118" s="172" t="s">
        <v>189</v>
      </c>
      <c r="F118" s="213" t="s">
        <v>246</v>
      </c>
      <c r="G118" s="168" t="s">
        <v>217</v>
      </c>
      <c r="H118" s="168"/>
      <c r="I118" s="168"/>
      <c r="J118" s="168"/>
      <c r="K118" s="168"/>
      <c r="L118" s="168"/>
      <c r="M118" s="168"/>
      <c r="N118" s="168"/>
      <c r="O118" s="168"/>
      <c r="P118" s="241"/>
      <c r="Q118" s="168"/>
      <c r="R118" s="168"/>
      <c r="S118" s="168"/>
      <c r="T118" s="168"/>
      <c r="U118" s="168"/>
      <c r="V118" s="168"/>
      <c r="W118" s="168"/>
      <c r="X118" s="241"/>
    </row>
    <row r="119" spans="2:24" ht="20.25" customHeight="1" x14ac:dyDescent="0.15">
      <c r="F119" s="213" t="s">
        <v>230</v>
      </c>
      <c r="G119" s="392">
        <f>ROUND(H122+H125,3)</f>
        <v>0</v>
      </c>
      <c r="H119" s="392"/>
      <c r="I119" s="362" t="s">
        <v>279</v>
      </c>
      <c r="J119" s="362"/>
      <c r="K119" s="168"/>
      <c r="L119" s="168"/>
      <c r="M119" s="168"/>
      <c r="N119" s="168"/>
      <c r="O119" s="168"/>
      <c r="P119" s="241"/>
      <c r="Q119" s="168"/>
      <c r="R119" s="168"/>
      <c r="S119" s="168"/>
      <c r="T119" s="168"/>
      <c r="U119" s="168"/>
      <c r="V119" s="168"/>
      <c r="W119" s="168"/>
      <c r="X119" s="241"/>
    </row>
    <row r="120" spans="2:24" ht="20.25" customHeight="1" x14ac:dyDescent="0.15">
      <c r="D120" s="172" t="s">
        <v>218</v>
      </c>
      <c r="G120" s="168"/>
      <c r="H120" s="168"/>
      <c r="I120" s="168"/>
      <c r="J120" s="168"/>
      <c r="K120" s="168"/>
      <c r="L120" s="168"/>
      <c r="M120" s="168"/>
      <c r="N120" s="168"/>
      <c r="O120" s="168"/>
      <c r="P120" s="241"/>
      <c r="Q120" s="168"/>
      <c r="R120" s="168"/>
      <c r="S120" s="168"/>
      <c r="T120" s="168"/>
      <c r="U120" s="168"/>
      <c r="V120" s="168"/>
      <c r="W120" s="168"/>
      <c r="X120" s="241"/>
    </row>
    <row r="121" spans="2:24" ht="20.25" customHeight="1" x14ac:dyDescent="0.15">
      <c r="G121" s="267" t="s">
        <v>230</v>
      </c>
      <c r="H121" s="168" t="s">
        <v>219</v>
      </c>
      <c r="I121" s="168"/>
      <c r="J121" s="168"/>
      <c r="K121" s="168"/>
      <c r="L121" s="168"/>
      <c r="M121" s="168"/>
      <c r="N121" s="168"/>
      <c r="O121" s="168"/>
      <c r="P121" s="241"/>
      <c r="Q121" s="168"/>
      <c r="R121" s="168"/>
      <c r="S121" s="168"/>
      <c r="T121" s="273" t="s">
        <v>303</v>
      </c>
      <c r="U121" s="394">
        <f>N37</f>
        <v>0</v>
      </c>
      <c r="V121" s="394"/>
      <c r="W121" s="168" t="s">
        <v>280</v>
      </c>
      <c r="X121" s="241"/>
    </row>
    <row r="122" spans="2:24" ht="20.25" customHeight="1" x14ac:dyDescent="0.15">
      <c r="G122" s="267" t="s">
        <v>249</v>
      </c>
      <c r="H122" s="392">
        <f>ROUND(U121*U122,3)</f>
        <v>0</v>
      </c>
      <c r="I122" s="392"/>
      <c r="J122" s="362" t="s">
        <v>281</v>
      </c>
      <c r="K122" s="362"/>
      <c r="L122" s="168"/>
      <c r="M122" s="168"/>
      <c r="N122" s="168"/>
      <c r="O122" s="168"/>
      <c r="P122" s="241"/>
      <c r="Q122" s="168"/>
      <c r="R122" s="168"/>
      <c r="S122" s="168"/>
      <c r="T122" s="273" t="s">
        <v>207</v>
      </c>
      <c r="U122" s="408">
        <f>H29</f>
        <v>0</v>
      </c>
      <c r="V122" s="408"/>
      <c r="W122" s="168" t="s">
        <v>248</v>
      </c>
      <c r="X122" s="241"/>
    </row>
    <row r="123" spans="2:24" ht="20.25" customHeight="1" x14ac:dyDescent="0.15">
      <c r="D123" s="172" t="s">
        <v>220</v>
      </c>
      <c r="G123" s="168"/>
      <c r="H123" s="168"/>
      <c r="I123" s="168"/>
      <c r="J123" s="168"/>
      <c r="K123" s="168"/>
      <c r="L123" s="168"/>
      <c r="M123" s="168"/>
      <c r="N123" s="168"/>
      <c r="O123" s="168"/>
      <c r="P123" s="241"/>
      <c r="Q123" s="168"/>
      <c r="R123" s="168"/>
      <c r="S123" s="168"/>
      <c r="T123" s="168"/>
      <c r="U123" s="168"/>
      <c r="V123" s="168"/>
      <c r="W123" s="168"/>
      <c r="X123" s="241"/>
    </row>
    <row r="124" spans="2:24" ht="20.25" customHeight="1" x14ac:dyDescent="0.15">
      <c r="G124" s="267" t="s">
        <v>250</v>
      </c>
      <c r="H124" s="358" t="s">
        <v>221</v>
      </c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405"/>
    </row>
    <row r="125" spans="2:24" ht="20.25" customHeight="1" thickBot="1" x14ac:dyDescent="0.2">
      <c r="G125" s="267" t="s">
        <v>251</v>
      </c>
      <c r="H125" s="392">
        <f>ROUND((U108*U109-U121)*U122*U126,3)</f>
        <v>0</v>
      </c>
      <c r="I125" s="392"/>
      <c r="J125" s="362" t="s">
        <v>282</v>
      </c>
      <c r="K125" s="362"/>
      <c r="L125" s="168"/>
      <c r="M125" s="168"/>
      <c r="N125" s="168"/>
      <c r="O125" s="168"/>
      <c r="P125" s="241"/>
      <c r="Q125" s="226"/>
      <c r="R125" s="168"/>
      <c r="S125" s="168"/>
      <c r="T125" s="168"/>
      <c r="U125" s="168"/>
      <c r="V125" s="168"/>
      <c r="W125" s="168"/>
      <c r="X125" s="241"/>
    </row>
    <row r="126" spans="2:24" ht="20.25" customHeight="1" thickBot="1" x14ac:dyDescent="0.2">
      <c r="G126" s="267"/>
      <c r="H126" s="267"/>
      <c r="I126" s="267"/>
      <c r="J126" s="267"/>
      <c r="K126" s="168"/>
      <c r="L126" s="168"/>
      <c r="M126" s="168"/>
      <c r="N126" s="168"/>
      <c r="O126" s="168"/>
      <c r="P126" s="241"/>
      <c r="Q126" s="487" t="s">
        <v>222</v>
      </c>
      <c r="R126" s="483"/>
      <c r="S126" s="483"/>
      <c r="T126" s="485"/>
      <c r="U126" s="399">
        <v>0.4</v>
      </c>
      <c r="V126" s="400"/>
      <c r="W126" s="168"/>
      <c r="X126" s="241"/>
    </row>
    <row r="127" spans="2:24" ht="20.25" customHeight="1" x14ac:dyDescent="0.15">
      <c r="G127" s="168"/>
      <c r="H127" s="168"/>
      <c r="I127" s="168"/>
      <c r="J127" s="168"/>
      <c r="K127" s="168"/>
      <c r="L127" s="168"/>
      <c r="M127" s="168"/>
      <c r="N127" s="168"/>
      <c r="O127" s="168"/>
      <c r="P127" s="241"/>
      <c r="Q127" s="226"/>
      <c r="R127" s="168"/>
      <c r="S127" s="168"/>
      <c r="T127" s="168"/>
      <c r="U127" s="168"/>
      <c r="V127" s="168"/>
      <c r="W127" s="168"/>
      <c r="X127" s="241"/>
    </row>
    <row r="128" spans="2:24" ht="20.25" customHeight="1" x14ac:dyDescent="0.15">
      <c r="G128" s="168"/>
      <c r="H128" s="168"/>
      <c r="I128" s="168"/>
      <c r="J128" s="168"/>
      <c r="K128" s="168"/>
      <c r="L128" s="168"/>
      <c r="M128" s="168"/>
      <c r="N128" s="168"/>
      <c r="O128" s="168"/>
      <c r="P128" s="241"/>
      <c r="Q128" s="226"/>
      <c r="R128" s="168"/>
      <c r="S128" s="168"/>
      <c r="T128" s="168"/>
      <c r="U128" s="168"/>
      <c r="V128" s="168"/>
      <c r="W128" s="168"/>
      <c r="X128" s="241"/>
    </row>
    <row r="129" spans="1:24" ht="20.25" customHeight="1" x14ac:dyDescent="0.15">
      <c r="G129" s="168"/>
      <c r="H129" s="168"/>
      <c r="I129" s="168"/>
      <c r="J129" s="168"/>
      <c r="K129" s="168"/>
      <c r="L129" s="168"/>
      <c r="M129" s="168"/>
      <c r="N129" s="168"/>
      <c r="O129" s="168"/>
      <c r="P129" s="241"/>
      <c r="Q129" s="226"/>
      <c r="R129" s="168"/>
      <c r="S129" s="168"/>
      <c r="T129" s="168"/>
      <c r="U129" s="168"/>
      <c r="V129" s="168"/>
      <c r="W129" s="168"/>
      <c r="X129" s="241"/>
    </row>
    <row r="130" spans="1:24" ht="20.25" customHeight="1" x14ac:dyDescent="0.15">
      <c r="G130" s="168"/>
      <c r="H130" s="168"/>
      <c r="I130" s="168"/>
      <c r="J130" s="168"/>
      <c r="K130" s="168"/>
      <c r="L130" s="168"/>
      <c r="M130" s="168"/>
      <c r="N130" s="168"/>
      <c r="O130" s="168"/>
      <c r="P130" s="241"/>
      <c r="Q130" s="226"/>
      <c r="R130" s="168"/>
      <c r="S130" s="168"/>
      <c r="T130" s="168"/>
      <c r="U130" s="168"/>
      <c r="V130" s="168"/>
      <c r="W130" s="168"/>
      <c r="X130" s="241"/>
    </row>
    <row r="131" spans="1:24" ht="20.25" customHeight="1" x14ac:dyDescent="0.15">
      <c r="G131" s="168"/>
      <c r="H131" s="168"/>
      <c r="I131" s="168"/>
      <c r="J131" s="168"/>
      <c r="K131" s="168"/>
      <c r="L131" s="168"/>
      <c r="M131" s="168"/>
      <c r="N131" s="168"/>
      <c r="O131" s="168"/>
      <c r="P131" s="241"/>
      <c r="Q131" s="226"/>
      <c r="R131" s="168"/>
      <c r="S131" s="168"/>
      <c r="T131" s="168"/>
      <c r="U131" s="168"/>
      <c r="V131" s="168"/>
      <c r="W131" s="168"/>
      <c r="X131" s="241"/>
    </row>
    <row r="132" spans="1:24" ht="20.25" customHeight="1" x14ac:dyDescent="0.15">
      <c r="G132" s="168"/>
      <c r="H132" s="168"/>
      <c r="I132" s="168"/>
      <c r="J132" s="168"/>
      <c r="K132" s="168"/>
      <c r="L132" s="168"/>
      <c r="M132" s="168"/>
      <c r="N132" s="168"/>
      <c r="O132" s="168"/>
      <c r="P132" s="241"/>
      <c r="Q132" s="226"/>
      <c r="R132" s="168"/>
      <c r="S132" s="168"/>
      <c r="T132" s="168"/>
      <c r="U132" s="168"/>
      <c r="V132" s="168"/>
      <c r="W132" s="168"/>
      <c r="X132" s="241"/>
    </row>
    <row r="133" spans="1:24" ht="20.25" customHeight="1" x14ac:dyDescent="0.15">
      <c r="G133" s="168"/>
      <c r="H133" s="168"/>
      <c r="I133" s="168"/>
      <c r="J133" s="168"/>
      <c r="K133" s="168"/>
      <c r="L133" s="168"/>
      <c r="M133" s="168"/>
      <c r="N133" s="168"/>
      <c r="O133" s="168"/>
      <c r="P133" s="241"/>
      <c r="Q133" s="226"/>
      <c r="R133" s="168"/>
      <c r="S133" s="168"/>
      <c r="T133" s="168"/>
      <c r="U133" s="168"/>
      <c r="V133" s="168"/>
      <c r="W133" s="168"/>
      <c r="X133" s="241"/>
    </row>
    <row r="134" spans="1:24" ht="20.25" customHeight="1" x14ac:dyDescent="0.15">
      <c r="G134" s="168"/>
      <c r="H134" s="168"/>
      <c r="I134" s="168"/>
      <c r="J134" s="168"/>
      <c r="K134" s="168"/>
      <c r="L134" s="168"/>
      <c r="M134" s="168"/>
      <c r="N134" s="168"/>
      <c r="O134" s="168"/>
      <c r="P134" s="241"/>
      <c r="Q134" s="270"/>
      <c r="R134" s="227"/>
      <c r="S134" s="227"/>
      <c r="T134" s="227"/>
      <c r="U134" s="227"/>
      <c r="V134" s="227"/>
      <c r="W134" s="227"/>
      <c r="X134" s="271"/>
    </row>
    <row r="135" spans="1:24" ht="20.25" customHeight="1" x14ac:dyDescent="0.15"/>
    <row r="136" spans="1:24" ht="20.25" customHeight="1" x14ac:dyDescent="0.15"/>
    <row r="137" spans="1:24" s="12" customFormat="1" ht="21" customHeight="1" x14ac:dyDescent="0.15">
      <c r="A137" s="384" t="s">
        <v>122</v>
      </c>
      <c r="B137" s="384"/>
      <c r="C137" s="384"/>
      <c r="D137" s="384"/>
      <c r="E137" s="384"/>
      <c r="F137" s="384"/>
      <c r="G137" s="384"/>
      <c r="H137" s="384"/>
      <c r="I137" s="384"/>
      <c r="J137" s="384"/>
      <c r="K137" s="384"/>
      <c r="L137" s="384"/>
      <c r="M137" s="385" t="s">
        <v>165</v>
      </c>
      <c r="N137" s="386"/>
      <c r="O137" s="386"/>
      <c r="P137" s="386"/>
      <c r="Q137" s="386"/>
      <c r="R137" s="387"/>
      <c r="S137" s="170"/>
      <c r="T137" s="170"/>
      <c r="U137" s="382"/>
      <c r="V137" s="382"/>
      <c r="W137" s="382"/>
      <c r="X137" s="382"/>
    </row>
    <row r="138" spans="1:24" ht="20.25" customHeight="1" x14ac:dyDescent="0.15"/>
    <row r="139" spans="1:24" ht="20.25" customHeight="1" x14ac:dyDescent="0.15">
      <c r="A139" s="12" t="s">
        <v>194</v>
      </c>
      <c r="G139" s="12" t="s">
        <v>0</v>
      </c>
    </row>
    <row r="140" spans="1:24" ht="20.25" customHeight="1" x14ac:dyDescent="0.15"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363" t="s">
        <v>295</v>
      </c>
      <c r="R140" s="364"/>
      <c r="S140" s="364"/>
      <c r="T140" s="364"/>
      <c r="U140" s="364"/>
      <c r="V140" s="364"/>
      <c r="W140" s="364"/>
      <c r="X140" s="396"/>
    </row>
    <row r="141" spans="1:24" ht="20.25" customHeight="1" x14ac:dyDescent="0.15">
      <c r="G141" s="168"/>
      <c r="H141" s="168"/>
      <c r="I141" s="168"/>
      <c r="J141" s="168"/>
      <c r="K141" s="168"/>
      <c r="L141" s="168"/>
      <c r="M141" s="168"/>
      <c r="N141" s="168"/>
      <c r="O141" s="168"/>
      <c r="P141" s="241"/>
      <c r="Q141" s="168"/>
      <c r="R141" s="168"/>
      <c r="S141" s="168"/>
      <c r="T141" s="168"/>
      <c r="U141" s="168"/>
      <c r="V141" s="168"/>
      <c r="W141" s="168"/>
      <c r="X141" s="277"/>
    </row>
    <row r="142" spans="1:24" ht="20.25" customHeight="1" x14ac:dyDescent="0.15">
      <c r="B142" s="178" t="s">
        <v>196</v>
      </c>
      <c r="C142" s="178"/>
      <c r="D142" s="178"/>
      <c r="F142" s="177" t="s">
        <v>241</v>
      </c>
      <c r="G142" s="208" t="s">
        <v>197</v>
      </c>
      <c r="H142" s="208"/>
      <c r="I142" s="208"/>
      <c r="J142" s="20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277"/>
    </row>
    <row r="143" spans="1:24" ht="20.25" customHeight="1" thickBot="1" x14ac:dyDescent="0.2">
      <c r="B143" s="178"/>
      <c r="C143" s="178"/>
      <c r="D143" s="178"/>
      <c r="F143" s="180" t="s">
        <v>242</v>
      </c>
      <c r="G143" s="392">
        <f>ROUND(U144*H149*3600/100,3)</f>
        <v>-5.0999999999999997E-2</v>
      </c>
      <c r="H143" s="392"/>
      <c r="I143" s="208"/>
      <c r="J143" s="208"/>
      <c r="K143" s="168"/>
      <c r="L143" s="168"/>
      <c r="M143" s="168"/>
      <c r="N143" s="168"/>
      <c r="O143" s="168"/>
      <c r="P143" s="168"/>
      <c r="Q143" s="226" t="s">
        <v>296</v>
      </c>
      <c r="R143" s="168"/>
      <c r="S143" s="168"/>
      <c r="T143" s="168"/>
      <c r="U143" s="168"/>
      <c r="V143" s="168"/>
      <c r="W143" s="168"/>
      <c r="X143" s="277"/>
    </row>
    <row r="144" spans="1:24" ht="20.25" customHeight="1" thickBot="1" x14ac:dyDescent="0.2"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226"/>
      <c r="R144" s="168"/>
      <c r="S144" s="168"/>
      <c r="T144" s="168"/>
      <c r="U144" s="399">
        <v>5.0000000000000001E-3</v>
      </c>
      <c r="V144" s="400"/>
      <c r="W144" s="168" t="s">
        <v>243</v>
      </c>
      <c r="X144" s="277"/>
    </row>
    <row r="145" spans="2:24" ht="20.25" customHeight="1" x14ac:dyDescent="0.15">
      <c r="G145" s="272"/>
      <c r="H145" s="168"/>
      <c r="I145" s="168"/>
      <c r="J145" s="168"/>
      <c r="K145" s="168"/>
      <c r="L145" s="168"/>
      <c r="M145" s="168"/>
      <c r="N145" s="168"/>
      <c r="O145" s="168"/>
      <c r="P145" s="168"/>
      <c r="Q145" s="397" t="s">
        <v>297</v>
      </c>
      <c r="R145" s="380"/>
      <c r="S145" s="380"/>
      <c r="T145" s="380"/>
      <c r="U145" s="380"/>
      <c r="V145" s="380"/>
      <c r="W145" s="380"/>
      <c r="X145" s="398"/>
    </row>
    <row r="146" spans="2:24" ht="20.25" customHeight="1" x14ac:dyDescent="0.15">
      <c r="G146" s="272"/>
      <c r="H146" s="168"/>
      <c r="I146" s="168"/>
      <c r="J146" s="168"/>
      <c r="K146" s="168"/>
      <c r="L146" s="168"/>
      <c r="M146" s="168"/>
      <c r="N146" s="168"/>
      <c r="O146" s="168"/>
      <c r="P146" s="168"/>
      <c r="Q146" s="397" t="s">
        <v>298</v>
      </c>
      <c r="R146" s="380"/>
      <c r="S146" s="380"/>
      <c r="T146" s="380"/>
      <c r="U146" s="380"/>
      <c r="V146" s="380"/>
      <c r="W146" s="380"/>
      <c r="X146" s="398"/>
    </row>
    <row r="147" spans="2:24" ht="20.25" customHeight="1" x14ac:dyDescent="0.15">
      <c r="D147" s="172" t="s">
        <v>208</v>
      </c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226"/>
      <c r="R147" s="168"/>
      <c r="S147" s="168"/>
      <c r="T147" s="168"/>
      <c r="U147" s="168"/>
      <c r="V147" s="168"/>
      <c r="W147" s="168"/>
      <c r="X147" s="277"/>
    </row>
    <row r="148" spans="2:24" ht="20.25" customHeight="1" x14ac:dyDescent="0.15">
      <c r="G148" s="272" t="s">
        <v>209</v>
      </c>
      <c r="H148" s="168" t="s">
        <v>299</v>
      </c>
      <c r="I148" s="168"/>
      <c r="J148" s="168"/>
      <c r="K148" s="168"/>
      <c r="L148" s="168"/>
      <c r="M148" s="168"/>
      <c r="N148" s="168"/>
      <c r="O148" s="168"/>
      <c r="P148" s="168"/>
      <c r="Q148" s="226"/>
      <c r="R148" s="168"/>
      <c r="S148" s="168"/>
      <c r="T148" s="168"/>
      <c r="U148" s="168"/>
      <c r="V148" s="168"/>
      <c r="W148" s="168"/>
      <c r="X148" s="277"/>
    </row>
    <row r="149" spans="2:24" ht="20.25" customHeight="1" x14ac:dyDescent="0.15">
      <c r="G149" s="272" t="s">
        <v>210</v>
      </c>
      <c r="H149" s="401">
        <f>ROUND(I151*U150*U150+I153*U150+I155,3)</f>
        <v>-0.28299999999999997</v>
      </c>
      <c r="I149" s="401"/>
      <c r="J149" s="173" t="s">
        <v>275</v>
      </c>
      <c r="K149" s="168"/>
      <c r="L149" s="168"/>
      <c r="M149" s="168"/>
      <c r="N149" s="168"/>
      <c r="O149" s="168"/>
      <c r="P149" s="168"/>
      <c r="Q149" s="226"/>
      <c r="R149" s="168"/>
      <c r="S149" s="168"/>
      <c r="T149" s="168"/>
      <c r="U149" s="168"/>
      <c r="V149" s="168"/>
      <c r="W149" s="168"/>
      <c r="X149" s="277"/>
    </row>
    <row r="150" spans="2:24" ht="20.25" customHeight="1" x14ac:dyDescent="0.15">
      <c r="E150" s="212"/>
      <c r="F150" s="172" t="s">
        <v>199</v>
      </c>
      <c r="G150" s="273"/>
      <c r="H150" s="189" t="s">
        <v>210</v>
      </c>
      <c r="I150" s="208" t="s">
        <v>2</v>
      </c>
      <c r="J150" s="168"/>
      <c r="K150" s="168"/>
      <c r="L150" s="168"/>
      <c r="M150" s="168"/>
      <c r="N150" s="168"/>
      <c r="O150" s="168"/>
      <c r="P150" s="241"/>
      <c r="Q150" s="395" t="s">
        <v>202</v>
      </c>
      <c r="R150" s="395"/>
      <c r="S150" s="395"/>
      <c r="T150" s="395"/>
      <c r="U150" s="393">
        <f>K30</f>
        <v>0</v>
      </c>
      <c r="V150" s="393"/>
      <c r="W150" s="168"/>
      <c r="X150" s="277"/>
    </row>
    <row r="151" spans="2:24" ht="20.25" customHeight="1" x14ac:dyDescent="0.15">
      <c r="G151" s="168"/>
      <c r="H151" s="189" t="s">
        <v>251</v>
      </c>
      <c r="I151" s="392">
        <f>ROUND(0.12*U151+0.985,3)</f>
        <v>0.98499999999999999</v>
      </c>
      <c r="J151" s="392"/>
      <c r="K151" s="168"/>
      <c r="L151" s="168"/>
      <c r="M151" s="168"/>
      <c r="N151" s="168"/>
      <c r="O151" s="168"/>
      <c r="P151" s="241"/>
      <c r="Q151" s="395" t="s">
        <v>216</v>
      </c>
      <c r="R151" s="395"/>
      <c r="S151" s="395"/>
      <c r="T151" s="395"/>
      <c r="U151" s="393">
        <f>N30</f>
        <v>0</v>
      </c>
      <c r="V151" s="393"/>
      <c r="W151" s="168"/>
      <c r="X151" s="277"/>
    </row>
    <row r="152" spans="2:24" ht="20.25" customHeight="1" x14ac:dyDescent="0.15">
      <c r="E152" s="212"/>
      <c r="F152" s="172" t="s">
        <v>214</v>
      </c>
      <c r="G152" s="273"/>
      <c r="H152" s="189" t="s">
        <v>210</v>
      </c>
      <c r="I152" s="208" t="s">
        <v>3</v>
      </c>
      <c r="J152" s="168"/>
      <c r="K152" s="168"/>
      <c r="L152" s="168"/>
      <c r="M152" s="168"/>
      <c r="N152" s="168"/>
      <c r="O152" s="168"/>
      <c r="P152" s="241"/>
      <c r="Q152" s="168"/>
      <c r="R152" s="168"/>
      <c r="S152" s="168"/>
      <c r="T152" s="168"/>
      <c r="U152" s="168"/>
      <c r="V152" s="168"/>
      <c r="W152" s="168"/>
      <c r="X152" s="277"/>
    </row>
    <row r="153" spans="2:24" ht="20.25" customHeight="1" x14ac:dyDescent="0.15">
      <c r="G153" s="168"/>
      <c r="H153" s="189" t="s">
        <v>30</v>
      </c>
      <c r="I153" s="392">
        <f>ROUND(7.837*U151+0.82,3)</f>
        <v>0.82</v>
      </c>
      <c r="J153" s="392"/>
      <c r="K153" s="168"/>
      <c r="L153" s="168"/>
      <c r="M153" s="168"/>
      <c r="N153" s="168"/>
      <c r="O153" s="168"/>
      <c r="P153" s="241"/>
      <c r="Q153" s="168"/>
      <c r="R153" s="168"/>
      <c r="S153" s="168"/>
      <c r="T153" s="168"/>
      <c r="U153" s="168"/>
      <c r="V153" s="168"/>
      <c r="W153" s="168"/>
      <c r="X153" s="277"/>
    </row>
    <row r="154" spans="2:24" ht="20.25" customHeight="1" x14ac:dyDescent="0.15">
      <c r="E154" s="212"/>
      <c r="F154" s="172" t="s">
        <v>1</v>
      </c>
      <c r="G154" s="273"/>
      <c r="H154" s="189" t="s">
        <v>210</v>
      </c>
      <c r="I154" s="208" t="s">
        <v>4</v>
      </c>
      <c r="J154" s="168"/>
      <c r="K154" s="168"/>
      <c r="L154" s="168"/>
      <c r="M154" s="168"/>
      <c r="N154" s="168"/>
      <c r="O154" s="168"/>
      <c r="P154" s="241"/>
      <c r="Q154" s="168"/>
      <c r="R154" s="168"/>
      <c r="S154" s="168"/>
      <c r="T154" s="168"/>
      <c r="U154" s="168"/>
      <c r="V154" s="168"/>
      <c r="W154" s="168"/>
      <c r="X154" s="277"/>
    </row>
    <row r="155" spans="2:24" ht="20.25" customHeight="1" x14ac:dyDescent="0.15">
      <c r="G155" s="168"/>
      <c r="H155" s="189" t="s">
        <v>30</v>
      </c>
      <c r="I155" s="392">
        <f>ROUND(2.858*U151-0.283,3)</f>
        <v>-0.28299999999999997</v>
      </c>
      <c r="J155" s="392"/>
      <c r="K155" s="168"/>
      <c r="L155" s="168"/>
      <c r="M155" s="168"/>
      <c r="N155" s="168"/>
      <c r="O155" s="168"/>
      <c r="P155" s="241"/>
      <c r="Q155" s="168"/>
      <c r="R155" s="168"/>
      <c r="S155" s="168"/>
      <c r="T155" s="168"/>
      <c r="U155" s="168"/>
      <c r="V155" s="168"/>
      <c r="W155" s="168"/>
      <c r="X155" s="277"/>
    </row>
    <row r="156" spans="2:24" ht="20.25" customHeight="1" x14ac:dyDescent="0.15">
      <c r="G156" s="168"/>
      <c r="H156" s="168"/>
      <c r="I156" s="168"/>
      <c r="J156" s="168"/>
      <c r="K156" s="168"/>
      <c r="L156" s="168"/>
      <c r="M156" s="168"/>
      <c r="N156" s="168"/>
      <c r="O156" s="168"/>
      <c r="P156" s="241"/>
      <c r="Q156" s="168"/>
      <c r="R156" s="168"/>
      <c r="S156" s="168"/>
      <c r="T156" s="168"/>
      <c r="U156" s="168"/>
      <c r="V156" s="168"/>
      <c r="W156" s="168"/>
      <c r="X156" s="277"/>
    </row>
    <row r="157" spans="2:24" ht="20.25" customHeight="1" x14ac:dyDescent="0.15">
      <c r="B157" s="172" t="s">
        <v>203</v>
      </c>
      <c r="F157" s="177" t="s">
        <v>244</v>
      </c>
      <c r="G157" s="208" t="s">
        <v>205</v>
      </c>
      <c r="H157" s="208"/>
      <c r="I157" s="168"/>
      <c r="J157" s="168"/>
      <c r="K157" s="168"/>
      <c r="L157" s="168"/>
      <c r="M157" s="168"/>
      <c r="N157" s="168"/>
      <c r="O157" s="168"/>
      <c r="P157" s="241"/>
      <c r="Q157" s="168"/>
      <c r="R157" s="168"/>
      <c r="S157" s="168"/>
      <c r="T157" s="168"/>
      <c r="U157" s="168"/>
      <c r="V157" s="168"/>
      <c r="W157" s="168"/>
      <c r="X157" s="277"/>
    </row>
    <row r="158" spans="2:24" ht="20.25" customHeight="1" x14ac:dyDescent="0.15">
      <c r="F158" s="180" t="s">
        <v>179</v>
      </c>
      <c r="G158" s="392">
        <f>ROUND(G143*U158,3)</f>
        <v>-4.1000000000000002E-2</v>
      </c>
      <c r="H158" s="392"/>
      <c r="I158" s="168"/>
      <c r="J158" s="168"/>
      <c r="K158" s="168"/>
      <c r="L158" s="168"/>
      <c r="M158" s="168"/>
      <c r="N158" s="168"/>
      <c r="O158" s="168"/>
      <c r="P158" s="241"/>
      <c r="Q158" s="168"/>
      <c r="R158" s="168"/>
      <c r="S158" s="168"/>
      <c r="T158" s="273" t="s">
        <v>204</v>
      </c>
      <c r="U158" s="362">
        <v>0.81</v>
      </c>
      <c r="V158" s="362"/>
      <c r="W158" s="168"/>
      <c r="X158" s="277"/>
    </row>
    <row r="159" spans="2:24" ht="20.25" customHeight="1" x14ac:dyDescent="0.15">
      <c r="G159" s="168"/>
      <c r="H159" s="168"/>
      <c r="I159" s="168"/>
      <c r="J159" s="168"/>
      <c r="K159" s="168"/>
      <c r="L159" s="168"/>
      <c r="M159" s="168"/>
      <c r="N159" s="168"/>
      <c r="O159" s="168"/>
      <c r="P159" s="241"/>
      <c r="Q159" s="168"/>
      <c r="R159" s="168"/>
      <c r="S159" s="168"/>
      <c r="T159" s="168"/>
      <c r="U159" s="168"/>
      <c r="V159" s="168"/>
      <c r="W159" s="168"/>
      <c r="X159" s="277"/>
    </row>
    <row r="160" spans="2:24" ht="20.25" customHeight="1" x14ac:dyDescent="0.15">
      <c r="B160" s="172" t="s">
        <v>183</v>
      </c>
      <c r="F160" s="213" t="s">
        <v>30</v>
      </c>
      <c r="G160" s="168" t="s">
        <v>206</v>
      </c>
      <c r="H160" s="168"/>
      <c r="I160" s="168"/>
      <c r="J160" s="168"/>
      <c r="K160" s="168"/>
      <c r="L160" s="168"/>
      <c r="M160" s="168"/>
      <c r="N160" s="168"/>
      <c r="O160" s="168"/>
      <c r="P160" s="241"/>
      <c r="Q160" s="168"/>
      <c r="R160" s="168"/>
      <c r="S160" s="168"/>
      <c r="T160" s="273" t="s">
        <v>207</v>
      </c>
      <c r="U160" s="476">
        <f>H30</f>
        <v>0</v>
      </c>
      <c r="V160" s="476"/>
      <c r="W160" s="168" t="s">
        <v>182</v>
      </c>
      <c r="X160" s="277"/>
    </row>
    <row r="161" spans="2:24" ht="20.25" customHeight="1" x14ac:dyDescent="0.15">
      <c r="F161" s="213" t="s">
        <v>245</v>
      </c>
      <c r="G161" s="392">
        <f>G158*U160</f>
        <v>0</v>
      </c>
      <c r="H161" s="392"/>
      <c r="I161" s="362" t="s">
        <v>277</v>
      </c>
      <c r="J161" s="362"/>
      <c r="K161" s="168"/>
      <c r="L161" s="168"/>
      <c r="M161" s="168"/>
      <c r="N161" s="168"/>
      <c r="O161" s="168"/>
      <c r="P161" s="241"/>
      <c r="Q161" s="168"/>
      <c r="R161" s="168"/>
      <c r="S161" s="168"/>
      <c r="T161" s="168"/>
      <c r="U161" s="168"/>
      <c r="V161" s="168"/>
      <c r="W161" s="168"/>
      <c r="X161" s="277"/>
    </row>
    <row r="162" spans="2:24" ht="20.25" customHeight="1" x14ac:dyDescent="0.15">
      <c r="G162" s="168"/>
      <c r="H162" s="168"/>
      <c r="I162" s="168"/>
      <c r="J162" s="168"/>
      <c r="K162" s="168"/>
      <c r="L162" s="168"/>
      <c r="M162" s="168"/>
      <c r="N162" s="168"/>
      <c r="O162" s="168"/>
      <c r="P162" s="241"/>
      <c r="Q162" s="168"/>
      <c r="R162" s="168"/>
      <c r="S162" s="168"/>
      <c r="T162" s="168"/>
      <c r="U162" s="168"/>
      <c r="V162" s="168"/>
      <c r="W162" s="168"/>
      <c r="X162" s="277"/>
    </row>
    <row r="163" spans="2:24" ht="20.25" customHeight="1" x14ac:dyDescent="0.15">
      <c r="B163" s="172" t="s">
        <v>189</v>
      </c>
      <c r="F163" s="213" t="s">
        <v>246</v>
      </c>
      <c r="G163" s="168" t="s">
        <v>300</v>
      </c>
      <c r="H163" s="168"/>
      <c r="I163" s="168"/>
      <c r="J163" s="168"/>
      <c r="K163" s="168"/>
      <c r="L163" s="168"/>
      <c r="M163" s="168"/>
      <c r="N163" s="168"/>
      <c r="O163" s="168"/>
      <c r="P163" s="241"/>
      <c r="Q163" s="168"/>
      <c r="R163" s="168"/>
      <c r="S163" s="168"/>
      <c r="T163" s="168"/>
      <c r="U163" s="168"/>
      <c r="V163" s="168"/>
      <c r="W163" s="168"/>
      <c r="X163" s="277"/>
    </row>
    <row r="164" spans="2:24" ht="20.25" customHeight="1" x14ac:dyDescent="0.15">
      <c r="F164" s="213" t="s">
        <v>230</v>
      </c>
      <c r="G164" s="392">
        <f>ROUND(H167+H170,3)</f>
        <v>0</v>
      </c>
      <c r="H164" s="392"/>
      <c r="I164" s="362" t="s">
        <v>279</v>
      </c>
      <c r="J164" s="362"/>
      <c r="K164" s="168"/>
      <c r="L164" s="168"/>
      <c r="M164" s="168"/>
      <c r="N164" s="168"/>
      <c r="O164" s="168"/>
      <c r="P164" s="241"/>
      <c r="Q164" s="168"/>
      <c r="R164" s="168"/>
      <c r="S164" s="168"/>
      <c r="T164" s="168"/>
      <c r="U164" s="168"/>
      <c r="V164" s="168"/>
      <c r="W164" s="168"/>
      <c r="X164" s="277"/>
    </row>
    <row r="165" spans="2:24" ht="20.25" customHeight="1" x14ac:dyDescent="0.15">
      <c r="D165" s="172" t="s">
        <v>301</v>
      </c>
      <c r="G165" s="168"/>
      <c r="H165" s="168"/>
      <c r="I165" s="168"/>
      <c r="J165" s="168"/>
      <c r="K165" s="168"/>
      <c r="L165" s="168"/>
      <c r="M165" s="168"/>
      <c r="N165" s="168"/>
      <c r="O165" s="168"/>
      <c r="P165" s="241"/>
      <c r="Q165" s="168"/>
      <c r="R165" s="168"/>
      <c r="S165" s="168"/>
      <c r="T165" s="273" t="s">
        <v>302</v>
      </c>
      <c r="U165" s="482">
        <f>P38</f>
        <v>0</v>
      </c>
      <c r="V165" s="482"/>
      <c r="W165" s="168" t="s">
        <v>185</v>
      </c>
      <c r="X165" s="277"/>
    </row>
    <row r="166" spans="2:24" ht="20.25" customHeight="1" x14ac:dyDescent="0.15">
      <c r="G166" s="267" t="s">
        <v>230</v>
      </c>
      <c r="H166" s="358" t="s">
        <v>312</v>
      </c>
      <c r="I166" s="358"/>
      <c r="J166" s="358"/>
      <c r="K166" s="358"/>
      <c r="L166" s="358"/>
      <c r="M166" s="358"/>
      <c r="N166" s="358"/>
      <c r="O166" s="358"/>
      <c r="P166" s="358"/>
      <c r="Q166" s="358"/>
      <c r="R166" s="483" t="s">
        <v>304</v>
      </c>
      <c r="S166" s="483"/>
      <c r="T166" s="483"/>
      <c r="U166" s="482">
        <f>U38</f>
        <v>0</v>
      </c>
      <c r="V166" s="482"/>
      <c r="W166" s="168" t="s">
        <v>185</v>
      </c>
      <c r="X166" s="277"/>
    </row>
    <row r="167" spans="2:24" ht="20.25" customHeight="1" x14ac:dyDescent="0.15">
      <c r="G167" s="267" t="s">
        <v>249</v>
      </c>
      <c r="H167" s="392">
        <f>ROUND((U165/2)^2*3.14*U166*U167,3)</f>
        <v>0</v>
      </c>
      <c r="I167" s="392"/>
      <c r="J167" s="362" t="s">
        <v>281</v>
      </c>
      <c r="K167" s="362"/>
      <c r="L167" s="168"/>
      <c r="M167" s="168"/>
      <c r="N167" s="168"/>
      <c r="O167" s="168"/>
      <c r="P167" s="241"/>
      <c r="Q167" s="168"/>
      <c r="R167" s="168"/>
      <c r="S167" s="168"/>
      <c r="T167" s="273" t="s">
        <v>207</v>
      </c>
      <c r="U167" s="476">
        <f>H30</f>
        <v>0</v>
      </c>
      <c r="V167" s="476"/>
      <c r="W167" s="168" t="s">
        <v>182</v>
      </c>
      <c r="X167" s="277"/>
    </row>
    <row r="168" spans="2:24" ht="20.25" customHeight="1" x14ac:dyDescent="0.15">
      <c r="D168" s="172" t="s">
        <v>220</v>
      </c>
      <c r="G168" s="168"/>
      <c r="H168" s="168"/>
      <c r="I168" s="168"/>
      <c r="J168" s="168"/>
      <c r="K168" s="168"/>
      <c r="L168" s="168"/>
      <c r="M168" s="168"/>
      <c r="N168" s="168"/>
      <c r="O168" s="168"/>
      <c r="P168" s="241"/>
      <c r="Q168" s="168"/>
      <c r="R168" s="168"/>
      <c r="S168" s="168"/>
      <c r="T168" s="168"/>
      <c r="U168" s="168"/>
      <c r="V168" s="168"/>
      <c r="W168" s="168"/>
      <c r="X168" s="277"/>
    </row>
    <row r="169" spans="2:24" ht="20.25" customHeight="1" thickBot="1" x14ac:dyDescent="0.2">
      <c r="G169" s="267" t="s">
        <v>250</v>
      </c>
      <c r="H169" s="358" t="s">
        <v>313</v>
      </c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486"/>
    </row>
    <row r="170" spans="2:24" ht="20.25" customHeight="1" thickBot="1" x14ac:dyDescent="0.2">
      <c r="G170" s="267" t="s">
        <v>251</v>
      </c>
      <c r="H170" s="392">
        <f>ROUND((U150*U151*U151-J172)*U167*U170,3)</f>
        <v>0</v>
      </c>
      <c r="I170" s="392"/>
      <c r="J170" s="362" t="s">
        <v>282</v>
      </c>
      <c r="K170" s="362"/>
      <c r="L170" s="168"/>
      <c r="M170" s="168"/>
      <c r="N170" s="168"/>
      <c r="O170" s="168"/>
      <c r="P170" s="241"/>
      <c r="Q170" s="487" t="s">
        <v>222</v>
      </c>
      <c r="R170" s="483"/>
      <c r="S170" s="483"/>
      <c r="T170" s="485"/>
      <c r="U170" s="399">
        <v>0.4</v>
      </c>
      <c r="V170" s="400"/>
      <c r="W170" s="168"/>
      <c r="X170" s="277"/>
    </row>
    <row r="171" spans="2:24" ht="20.25" customHeight="1" x14ac:dyDescent="0.15">
      <c r="F171" s="172" t="s">
        <v>314</v>
      </c>
      <c r="G171" s="267"/>
      <c r="H171" s="267"/>
      <c r="I171" s="267" t="s">
        <v>246</v>
      </c>
      <c r="J171" s="168" t="s">
        <v>315</v>
      </c>
      <c r="K171" s="168"/>
      <c r="L171" s="168"/>
      <c r="M171" s="168"/>
      <c r="N171" s="168"/>
      <c r="O171" s="168"/>
      <c r="P171" s="241"/>
      <c r="Q171" s="226"/>
      <c r="R171" s="168"/>
      <c r="S171" s="168"/>
      <c r="T171" s="168"/>
      <c r="U171" s="168"/>
      <c r="V171" s="168"/>
      <c r="W171" s="168"/>
      <c r="X171" s="277"/>
    </row>
    <row r="172" spans="2:24" ht="20.25" customHeight="1" x14ac:dyDescent="0.15">
      <c r="G172" s="168"/>
      <c r="H172" s="168"/>
      <c r="I172" s="267" t="s">
        <v>230</v>
      </c>
      <c r="J172" s="392">
        <f>ROUND((U165/2)^2*3.14*U166,3)</f>
        <v>0</v>
      </c>
      <c r="K172" s="392"/>
      <c r="L172" s="362" t="s">
        <v>316</v>
      </c>
      <c r="M172" s="362"/>
      <c r="N172" s="168"/>
      <c r="O172" s="168"/>
      <c r="P172" s="241"/>
      <c r="Q172" s="226"/>
      <c r="R172" s="168"/>
      <c r="S172" s="168"/>
      <c r="T172" s="168"/>
      <c r="U172" s="168"/>
      <c r="V172" s="168"/>
      <c r="W172" s="168"/>
      <c r="X172" s="277"/>
    </row>
    <row r="173" spans="2:24" ht="20.25" customHeight="1" x14ac:dyDescent="0.15">
      <c r="G173" s="168"/>
      <c r="H173" s="168"/>
      <c r="I173" s="168"/>
      <c r="J173" s="168"/>
      <c r="K173" s="168"/>
      <c r="L173" s="168"/>
      <c r="M173" s="168"/>
      <c r="N173" s="168"/>
      <c r="O173" s="168"/>
      <c r="P173" s="241"/>
      <c r="Q173" s="226"/>
      <c r="R173" s="168"/>
      <c r="S173" s="168"/>
      <c r="T173" s="168"/>
      <c r="U173" s="168"/>
      <c r="V173" s="168"/>
      <c r="W173" s="168"/>
      <c r="X173" s="277"/>
    </row>
    <row r="174" spans="2:24" ht="20.25" customHeight="1" x14ac:dyDescent="0.15">
      <c r="G174" s="168"/>
      <c r="H174" s="168"/>
      <c r="I174" s="168"/>
      <c r="J174" s="168"/>
      <c r="K174" s="168"/>
      <c r="L174" s="168"/>
      <c r="M174" s="168"/>
      <c r="N174" s="168"/>
      <c r="O174" s="168"/>
      <c r="P174" s="241"/>
      <c r="Q174" s="226"/>
      <c r="R174" s="168"/>
      <c r="S174" s="168"/>
      <c r="T174" s="168"/>
      <c r="U174" s="168"/>
      <c r="V174" s="168"/>
      <c r="W174" s="168"/>
      <c r="X174" s="277"/>
    </row>
    <row r="175" spans="2:24" ht="20.25" customHeight="1" x14ac:dyDescent="0.15">
      <c r="G175" s="168"/>
      <c r="H175" s="168"/>
      <c r="I175" s="168"/>
      <c r="J175" s="168"/>
      <c r="K175" s="168"/>
      <c r="L175" s="168"/>
      <c r="M175" s="168"/>
      <c r="N175" s="168"/>
      <c r="O175" s="168"/>
      <c r="P175" s="241"/>
      <c r="Q175" s="270"/>
      <c r="R175" s="227"/>
      <c r="S175" s="227"/>
      <c r="T175" s="227"/>
      <c r="U175" s="227"/>
      <c r="V175" s="227"/>
      <c r="W175" s="227"/>
      <c r="X175" s="280"/>
    </row>
    <row r="176" spans="2:24" ht="20.25" customHeight="1" x14ac:dyDescent="0.15"/>
    <row r="177" spans="1:24" ht="20.25" customHeight="1" x14ac:dyDescent="0.15"/>
    <row r="178" spans="1:24" s="12" customFormat="1" ht="21" customHeight="1" x14ac:dyDescent="0.15">
      <c r="A178" s="384" t="s">
        <v>122</v>
      </c>
      <c r="B178" s="384"/>
      <c r="C178" s="384"/>
      <c r="D178" s="384"/>
      <c r="E178" s="384"/>
      <c r="F178" s="384"/>
      <c r="G178" s="384"/>
      <c r="H178" s="384"/>
      <c r="I178" s="384"/>
      <c r="J178" s="384"/>
      <c r="K178" s="384"/>
      <c r="L178" s="384"/>
      <c r="M178" s="385" t="s">
        <v>165</v>
      </c>
      <c r="N178" s="386"/>
      <c r="O178" s="386"/>
      <c r="P178" s="386"/>
      <c r="Q178" s="386"/>
      <c r="R178" s="387"/>
      <c r="S178" s="170"/>
      <c r="T178" s="170"/>
      <c r="U178" s="382"/>
      <c r="V178" s="382"/>
      <c r="W178" s="382"/>
      <c r="X178" s="382"/>
    </row>
    <row r="179" spans="1:24" ht="20.25" customHeight="1" x14ac:dyDescent="0.15"/>
    <row r="180" spans="1:24" ht="20.25" customHeight="1" x14ac:dyDescent="0.15">
      <c r="A180" s="12" t="s">
        <v>194</v>
      </c>
      <c r="G180" s="12" t="s">
        <v>317</v>
      </c>
    </row>
    <row r="181" spans="1:24" ht="20.25" customHeight="1" x14ac:dyDescent="0.15"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363" t="s">
        <v>295</v>
      </c>
      <c r="R181" s="364"/>
      <c r="S181" s="364"/>
      <c r="T181" s="364"/>
      <c r="U181" s="364"/>
      <c r="V181" s="364"/>
      <c r="W181" s="364"/>
      <c r="X181" s="396"/>
    </row>
    <row r="182" spans="1:24" ht="20.25" customHeight="1" x14ac:dyDescent="0.15">
      <c r="G182" s="168"/>
      <c r="H182" s="168"/>
      <c r="I182" s="168"/>
      <c r="J182" s="168"/>
      <c r="K182" s="168"/>
      <c r="L182" s="168"/>
      <c r="M182" s="168"/>
      <c r="N182" s="168"/>
      <c r="O182" s="168"/>
      <c r="P182" s="241"/>
      <c r="Q182" s="168"/>
      <c r="R182" s="168"/>
      <c r="S182" s="168"/>
      <c r="T182" s="168"/>
      <c r="U182" s="168"/>
      <c r="V182" s="168"/>
      <c r="W182" s="168"/>
      <c r="X182" s="277"/>
    </row>
    <row r="183" spans="1:24" ht="20.25" customHeight="1" x14ac:dyDescent="0.15">
      <c r="B183" s="178" t="s">
        <v>196</v>
      </c>
      <c r="C183" s="178"/>
      <c r="D183" s="178"/>
      <c r="F183" s="177" t="s">
        <v>241</v>
      </c>
      <c r="G183" s="208" t="s">
        <v>197</v>
      </c>
      <c r="H183" s="208"/>
      <c r="I183" s="208"/>
      <c r="J183" s="20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277"/>
    </row>
    <row r="184" spans="1:24" ht="20.25" customHeight="1" thickBot="1" x14ac:dyDescent="0.2">
      <c r="B184" s="178"/>
      <c r="C184" s="178"/>
      <c r="D184" s="178"/>
      <c r="F184" s="180" t="s">
        <v>242</v>
      </c>
      <c r="G184" s="392">
        <f>ROUND(U185*H190*3600/100,3)</f>
        <v>0.13600000000000001</v>
      </c>
      <c r="H184" s="392"/>
      <c r="I184" s="208"/>
      <c r="J184" s="208"/>
      <c r="K184" s="168"/>
      <c r="L184" s="168"/>
      <c r="M184" s="168"/>
      <c r="N184" s="168"/>
      <c r="O184" s="168"/>
      <c r="P184" s="168"/>
      <c r="Q184" s="226" t="s">
        <v>296</v>
      </c>
      <c r="R184" s="168"/>
      <c r="S184" s="168"/>
      <c r="T184" s="168"/>
      <c r="U184" s="168"/>
      <c r="V184" s="168"/>
      <c r="W184" s="168"/>
      <c r="X184" s="277"/>
    </row>
    <row r="185" spans="1:24" ht="20.25" customHeight="1" thickBot="1" x14ac:dyDescent="0.2"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226"/>
      <c r="R185" s="168"/>
      <c r="S185" s="168"/>
      <c r="T185" s="168"/>
      <c r="U185" s="399">
        <v>5.0000000000000001E-3</v>
      </c>
      <c r="V185" s="400"/>
      <c r="W185" s="168" t="s">
        <v>243</v>
      </c>
      <c r="X185" s="277"/>
    </row>
    <row r="186" spans="1:24" ht="20.25" customHeight="1" x14ac:dyDescent="0.15">
      <c r="G186" s="272"/>
      <c r="H186" s="168"/>
      <c r="I186" s="168"/>
      <c r="J186" s="168"/>
      <c r="K186" s="168"/>
      <c r="L186" s="168"/>
      <c r="M186" s="168"/>
      <c r="N186" s="168"/>
      <c r="O186" s="168"/>
      <c r="P186" s="168"/>
      <c r="Q186" s="397" t="s">
        <v>297</v>
      </c>
      <c r="R186" s="380"/>
      <c r="S186" s="380"/>
      <c r="T186" s="380"/>
      <c r="U186" s="380"/>
      <c r="V186" s="380"/>
      <c r="W186" s="380"/>
      <c r="X186" s="398"/>
    </row>
    <row r="187" spans="1:24" ht="20.25" customHeight="1" x14ac:dyDescent="0.15">
      <c r="G187" s="272"/>
      <c r="H187" s="168"/>
      <c r="I187" s="168"/>
      <c r="J187" s="168"/>
      <c r="K187" s="168"/>
      <c r="L187" s="168"/>
      <c r="M187" s="168"/>
      <c r="N187" s="168"/>
      <c r="O187" s="168"/>
      <c r="P187" s="168"/>
      <c r="Q187" s="397" t="s">
        <v>298</v>
      </c>
      <c r="R187" s="380"/>
      <c r="S187" s="380"/>
      <c r="T187" s="380"/>
      <c r="U187" s="380"/>
      <c r="V187" s="380"/>
      <c r="W187" s="380"/>
      <c r="X187" s="398"/>
    </row>
    <row r="188" spans="1:24" ht="20.25" customHeight="1" x14ac:dyDescent="0.15">
      <c r="D188" s="172" t="s">
        <v>208</v>
      </c>
      <c r="G188" s="168"/>
      <c r="H188" s="168"/>
      <c r="I188" s="168"/>
      <c r="J188" s="168"/>
      <c r="K188" s="168"/>
      <c r="L188" s="168"/>
      <c r="M188" s="168"/>
      <c r="N188" s="168"/>
      <c r="O188" s="168"/>
      <c r="P188" s="241"/>
      <c r="Q188" s="168"/>
      <c r="R188" s="168"/>
      <c r="S188" s="168"/>
      <c r="T188" s="168"/>
      <c r="U188" s="168"/>
      <c r="V188" s="168"/>
      <c r="W188" s="168"/>
      <c r="X188" s="277"/>
    </row>
    <row r="189" spans="1:24" ht="20.25" customHeight="1" x14ac:dyDescent="0.15">
      <c r="G189" s="272" t="s">
        <v>209</v>
      </c>
      <c r="H189" s="168" t="s">
        <v>198</v>
      </c>
      <c r="I189" s="168"/>
      <c r="J189" s="168"/>
      <c r="K189" s="168"/>
      <c r="L189" s="168"/>
      <c r="M189" s="168"/>
      <c r="N189" s="168"/>
      <c r="O189" s="168"/>
      <c r="P189" s="241"/>
      <c r="Q189" s="168"/>
      <c r="R189" s="168"/>
      <c r="S189" s="168"/>
      <c r="T189" s="273"/>
      <c r="U189" s="402"/>
      <c r="V189" s="402"/>
      <c r="W189" s="168"/>
      <c r="X189" s="277"/>
    </row>
    <row r="190" spans="1:24" ht="20.25" customHeight="1" x14ac:dyDescent="0.15">
      <c r="G190" s="272" t="s">
        <v>210</v>
      </c>
      <c r="H190" s="401">
        <f>ROUND(U189*U190+I192,3)</f>
        <v>0.753</v>
      </c>
      <c r="I190" s="401"/>
      <c r="J190" s="173" t="s">
        <v>275</v>
      </c>
      <c r="K190" s="168"/>
      <c r="L190" s="168"/>
      <c r="M190" s="168"/>
      <c r="N190" s="168"/>
      <c r="O190" s="168"/>
      <c r="P190" s="241"/>
      <c r="Q190" s="168"/>
      <c r="R190" s="168"/>
      <c r="S190" s="168"/>
      <c r="T190" s="273" t="s">
        <v>202</v>
      </c>
      <c r="U190" s="393">
        <f>K31</f>
        <v>0</v>
      </c>
      <c r="V190" s="393"/>
      <c r="W190" s="168"/>
      <c r="X190" s="277"/>
    </row>
    <row r="191" spans="1:24" ht="20.25" customHeight="1" x14ac:dyDescent="0.15">
      <c r="E191" s="212"/>
      <c r="F191" s="172" t="s">
        <v>199</v>
      </c>
      <c r="G191" s="273"/>
      <c r="H191" s="189" t="s">
        <v>210</v>
      </c>
      <c r="I191" s="274" t="s">
        <v>318</v>
      </c>
      <c r="J191" s="168"/>
      <c r="K191" s="168"/>
      <c r="L191" s="168"/>
      <c r="M191" s="168"/>
      <c r="N191" s="168"/>
      <c r="O191" s="168"/>
      <c r="P191" s="241"/>
      <c r="Q191" s="168"/>
      <c r="R191" s="168"/>
      <c r="S191" s="168"/>
      <c r="T191" s="273" t="s">
        <v>216</v>
      </c>
      <c r="U191" s="393">
        <f>N31</f>
        <v>0</v>
      </c>
      <c r="V191" s="393"/>
      <c r="W191" s="168"/>
      <c r="X191" s="277"/>
    </row>
    <row r="192" spans="1:24" ht="20.25" customHeight="1" x14ac:dyDescent="0.15">
      <c r="G192" s="168"/>
      <c r="H192" s="189" t="s">
        <v>30</v>
      </c>
      <c r="I192" s="392">
        <f>ROUND(-0.453*U191*U191+8.289*U191+0.753,3)</f>
        <v>0.753</v>
      </c>
      <c r="J192" s="392"/>
      <c r="K192" s="168"/>
      <c r="L192" s="168"/>
      <c r="M192" s="168"/>
      <c r="N192" s="168"/>
      <c r="O192" s="168"/>
      <c r="P192" s="241"/>
      <c r="Q192" s="168"/>
      <c r="R192" s="168"/>
      <c r="S192" s="168"/>
      <c r="T192" s="168"/>
      <c r="U192" s="168"/>
      <c r="V192" s="168"/>
      <c r="W192" s="168"/>
      <c r="X192" s="277"/>
    </row>
    <row r="193" spans="2:24" ht="20.25" customHeight="1" x14ac:dyDescent="0.15">
      <c r="E193" s="212"/>
      <c r="F193" s="172" t="s">
        <v>214</v>
      </c>
      <c r="G193" s="273"/>
      <c r="H193" s="189" t="s">
        <v>210</v>
      </c>
      <c r="I193" s="208" t="s">
        <v>319</v>
      </c>
      <c r="J193" s="168"/>
      <c r="K193" s="168"/>
      <c r="L193" s="168"/>
      <c r="M193" s="168"/>
      <c r="N193" s="168"/>
      <c r="O193" s="168"/>
      <c r="P193" s="241"/>
      <c r="Q193" s="168"/>
      <c r="R193" s="168"/>
      <c r="S193" s="168"/>
      <c r="T193" s="168"/>
      <c r="U193" s="168"/>
      <c r="V193" s="168"/>
      <c r="W193" s="168"/>
      <c r="X193" s="277"/>
    </row>
    <row r="194" spans="2:24" ht="20.25" customHeight="1" x14ac:dyDescent="0.15">
      <c r="G194" s="168"/>
      <c r="H194" s="189" t="s">
        <v>30</v>
      </c>
      <c r="I194" s="392">
        <f>ROUND(1.458*U191*U191+1.27*U191+0.362,3)</f>
        <v>0.36199999999999999</v>
      </c>
      <c r="J194" s="392"/>
      <c r="K194" s="168"/>
      <c r="L194" s="168"/>
      <c r="M194" s="168"/>
      <c r="N194" s="168"/>
      <c r="O194" s="168"/>
      <c r="P194" s="241"/>
      <c r="Q194" s="168"/>
      <c r="R194" s="168"/>
      <c r="S194" s="168"/>
      <c r="T194" s="168"/>
      <c r="U194" s="168"/>
      <c r="V194" s="168"/>
      <c r="W194" s="168"/>
      <c r="X194" s="277"/>
    </row>
    <row r="195" spans="2:24" ht="20.25" customHeight="1" x14ac:dyDescent="0.15">
      <c r="G195" s="168"/>
      <c r="H195" s="168"/>
      <c r="I195" s="168"/>
      <c r="J195" s="168"/>
      <c r="K195" s="168"/>
      <c r="L195" s="168"/>
      <c r="M195" s="168"/>
      <c r="N195" s="168"/>
      <c r="O195" s="168"/>
      <c r="P195" s="241"/>
      <c r="Q195" s="168"/>
      <c r="R195" s="168"/>
      <c r="S195" s="168"/>
      <c r="T195" s="168"/>
      <c r="U195" s="168"/>
      <c r="V195" s="168"/>
      <c r="W195" s="168"/>
      <c r="X195" s="277"/>
    </row>
    <row r="196" spans="2:24" ht="20.25" customHeight="1" x14ac:dyDescent="0.15">
      <c r="B196" s="172" t="s">
        <v>203</v>
      </c>
      <c r="F196" s="177" t="s">
        <v>244</v>
      </c>
      <c r="G196" s="208" t="s">
        <v>205</v>
      </c>
      <c r="H196" s="208"/>
      <c r="I196" s="168"/>
      <c r="J196" s="168"/>
      <c r="K196" s="168"/>
      <c r="L196" s="168"/>
      <c r="M196" s="168"/>
      <c r="N196" s="168"/>
      <c r="O196" s="168"/>
      <c r="P196" s="241"/>
      <c r="Q196" s="168"/>
      <c r="R196" s="168"/>
      <c r="S196" s="168"/>
      <c r="T196" s="168"/>
      <c r="U196" s="168"/>
      <c r="V196" s="168"/>
      <c r="W196" s="168"/>
      <c r="X196" s="277"/>
    </row>
    <row r="197" spans="2:24" ht="20.25" customHeight="1" x14ac:dyDescent="0.15">
      <c r="F197" s="180" t="s">
        <v>179</v>
      </c>
      <c r="G197" s="392">
        <f>ROUND(G184*U197,3)</f>
        <v>0.11</v>
      </c>
      <c r="H197" s="392"/>
      <c r="I197" s="168"/>
      <c r="J197" s="168"/>
      <c r="K197" s="168"/>
      <c r="L197" s="168"/>
      <c r="M197" s="168"/>
      <c r="N197" s="168"/>
      <c r="O197" s="168"/>
      <c r="P197" s="241"/>
      <c r="Q197" s="168"/>
      <c r="R197" s="168"/>
      <c r="S197" s="168"/>
      <c r="T197" s="273" t="s">
        <v>204</v>
      </c>
      <c r="U197" s="362">
        <v>0.81</v>
      </c>
      <c r="V197" s="362"/>
      <c r="W197" s="168"/>
      <c r="X197" s="277"/>
    </row>
    <row r="198" spans="2:24" ht="20.25" customHeight="1" x14ac:dyDescent="0.15">
      <c r="G198" s="168"/>
      <c r="H198" s="168"/>
      <c r="I198" s="168"/>
      <c r="J198" s="168"/>
      <c r="K198" s="168"/>
      <c r="L198" s="168"/>
      <c r="M198" s="168"/>
      <c r="N198" s="168"/>
      <c r="O198" s="168"/>
      <c r="P198" s="241"/>
      <c r="Q198" s="168"/>
      <c r="R198" s="168"/>
      <c r="S198" s="168"/>
      <c r="T198" s="168"/>
      <c r="U198" s="168"/>
      <c r="V198" s="168"/>
      <c r="W198" s="168"/>
      <c r="X198" s="277"/>
    </row>
    <row r="199" spans="2:24" ht="20.25" customHeight="1" x14ac:dyDescent="0.15">
      <c r="B199" s="172" t="s">
        <v>183</v>
      </c>
      <c r="F199" s="213" t="s">
        <v>30</v>
      </c>
      <c r="G199" s="168" t="s">
        <v>206</v>
      </c>
      <c r="H199" s="168"/>
      <c r="I199" s="168"/>
      <c r="J199" s="168"/>
      <c r="K199" s="168"/>
      <c r="L199" s="168"/>
      <c r="M199" s="168"/>
      <c r="N199" s="168"/>
      <c r="O199" s="168"/>
      <c r="P199" s="241"/>
      <c r="Q199" s="168"/>
      <c r="R199" s="168"/>
      <c r="S199" s="168"/>
      <c r="T199" s="273" t="s">
        <v>207</v>
      </c>
      <c r="U199" s="476">
        <f>H31</f>
        <v>0</v>
      </c>
      <c r="V199" s="476"/>
      <c r="W199" s="168" t="s">
        <v>182</v>
      </c>
      <c r="X199" s="277"/>
    </row>
    <row r="200" spans="2:24" ht="20.25" customHeight="1" x14ac:dyDescent="0.15">
      <c r="F200" s="213" t="s">
        <v>245</v>
      </c>
      <c r="G200" s="392">
        <f>G197*U199</f>
        <v>0</v>
      </c>
      <c r="H200" s="392"/>
      <c r="I200" s="362" t="s">
        <v>277</v>
      </c>
      <c r="J200" s="362"/>
      <c r="K200" s="168"/>
      <c r="L200" s="168"/>
      <c r="M200" s="168"/>
      <c r="N200" s="168"/>
      <c r="O200" s="168"/>
      <c r="P200" s="241"/>
      <c r="Q200" s="168"/>
      <c r="R200" s="168"/>
      <c r="S200" s="168"/>
      <c r="T200" s="168"/>
      <c r="U200" s="168"/>
      <c r="V200" s="168"/>
      <c r="W200" s="168"/>
      <c r="X200" s="277"/>
    </row>
    <row r="201" spans="2:24" ht="20.25" customHeight="1" x14ac:dyDescent="0.15">
      <c r="G201" s="168"/>
      <c r="H201" s="168"/>
      <c r="I201" s="168"/>
      <c r="J201" s="168"/>
      <c r="K201" s="168"/>
      <c r="L201" s="168"/>
      <c r="M201" s="168"/>
      <c r="N201" s="168"/>
      <c r="O201" s="168"/>
      <c r="P201" s="241"/>
      <c r="Q201" s="168"/>
      <c r="R201" s="168"/>
      <c r="S201" s="168"/>
      <c r="T201" s="168"/>
      <c r="U201" s="168"/>
      <c r="V201" s="168"/>
      <c r="W201" s="168"/>
      <c r="X201" s="277"/>
    </row>
    <row r="202" spans="2:24" ht="20.25" customHeight="1" x14ac:dyDescent="0.15">
      <c r="B202" s="172" t="s">
        <v>189</v>
      </c>
      <c r="F202" s="213" t="s">
        <v>246</v>
      </c>
      <c r="G202" s="168" t="s">
        <v>300</v>
      </c>
      <c r="H202" s="168"/>
      <c r="I202" s="168"/>
      <c r="J202" s="168"/>
      <c r="K202" s="168"/>
      <c r="L202" s="168"/>
      <c r="M202" s="168"/>
      <c r="N202" s="168"/>
      <c r="O202" s="168"/>
      <c r="P202" s="241"/>
      <c r="Q202" s="168"/>
      <c r="R202" s="168"/>
      <c r="S202" s="168"/>
      <c r="T202" s="168"/>
      <c r="U202" s="168"/>
      <c r="V202" s="168"/>
      <c r="W202" s="168"/>
      <c r="X202" s="277"/>
    </row>
    <row r="203" spans="2:24" ht="20.25" customHeight="1" x14ac:dyDescent="0.15">
      <c r="F203" s="213" t="s">
        <v>230</v>
      </c>
      <c r="G203" s="392">
        <f>ROUND(H206+H209,3)</f>
        <v>0</v>
      </c>
      <c r="H203" s="392"/>
      <c r="I203" s="362" t="s">
        <v>279</v>
      </c>
      <c r="J203" s="362"/>
      <c r="K203" s="168"/>
      <c r="L203" s="168"/>
      <c r="M203" s="168"/>
      <c r="N203" s="168"/>
      <c r="O203" s="168"/>
      <c r="P203" s="241"/>
      <c r="Q203" s="168"/>
      <c r="R203" s="168"/>
      <c r="S203" s="168"/>
      <c r="T203" s="168"/>
      <c r="U203" s="168"/>
      <c r="V203" s="168"/>
      <c r="W203" s="168"/>
      <c r="X203" s="277"/>
    </row>
    <row r="204" spans="2:24" ht="20.25" customHeight="1" x14ac:dyDescent="0.15">
      <c r="D204" s="172" t="s">
        <v>301</v>
      </c>
      <c r="G204" s="168"/>
      <c r="H204" s="168"/>
      <c r="I204" s="168"/>
      <c r="J204" s="168"/>
      <c r="K204" s="168"/>
      <c r="L204" s="168"/>
      <c r="M204" s="168"/>
      <c r="N204" s="168"/>
      <c r="O204" s="168"/>
      <c r="P204" s="241"/>
      <c r="Q204" s="168"/>
      <c r="R204" s="168"/>
      <c r="S204" s="168"/>
      <c r="T204" s="273" t="s">
        <v>302</v>
      </c>
      <c r="U204" s="482">
        <f>P39</f>
        <v>0</v>
      </c>
      <c r="V204" s="482"/>
      <c r="W204" s="168" t="s">
        <v>185</v>
      </c>
      <c r="X204" s="277"/>
    </row>
    <row r="205" spans="2:24" ht="20.25" customHeight="1" x14ac:dyDescent="0.15">
      <c r="G205" s="267" t="s">
        <v>230</v>
      </c>
      <c r="H205" s="358" t="s">
        <v>312</v>
      </c>
      <c r="I205" s="358"/>
      <c r="J205" s="358"/>
      <c r="K205" s="358"/>
      <c r="L205" s="358"/>
      <c r="M205" s="358"/>
      <c r="N205" s="358"/>
      <c r="O205" s="358"/>
      <c r="P205" s="358"/>
      <c r="Q205" s="358"/>
      <c r="R205" s="483" t="s">
        <v>304</v>
      </c>
      <c r="S205" s="483"/>
      <c r="T205" s="483"/>
      <c r="U205" s="482">
        <f>U39</f>
        <v>0</v>
      </c>
      <c r="V205" s="482"/>
      <c r="W205" s="168" t="s">
        <v>185</v>
      </c>
      <c r="X205" s="277"/>
    </row>
    <row r="206" spans="2:24" ht="20.25" customHeight="1" x14ac:dyDescent="0.15">
      <c r="G206" s="267" t="s">
        <v>249</v>
      </c>
      <c r="H206" s="392">
        <f>ROUND((U204/2)^2*3.14*U205*U206,3)</f>
        <v>0</v>
      </c>
      <c r="I206" s="392"/>
      <c r="J206" s="362" t="s">
        <v>281</v>
      </c>
      <c r="K206" s="362"/>
      <c r="L206" s="168"/>
      <c r="M206" s="168"/>
      <c r="N206" s="168"/>
      <c r="O206" s="168"/>
      <c r="P206" s="241"/>
      <c r="Q206" s="168"/>
      <c r="R206" s="168"/>
      <c r="S206" s="168"/>
      <c r="T206" s="273" t="s">
        <v>207</v>
      </c>
      <c r="U206" s="476">
        <f>H31</f>
        <v>0</v>
      </c>
      <c r="V206" s="476"/>
      <c r="W206" s="168" t="s">
        <v>182</v>
      </c>
      <c r="X206" s="277"/>
    </row>
    <row r="207" spans="2:24" ht="20.25" customHeight="1" x14ac:dyDescent="0.15">
      <c r="D207" s="172" t="s">
        <v>220</v>
      </c>
      <c r="G207" s="168"/>
      <c r="H207" s="168"/>
      <c r="I207" s="168"/>
      <c r="J207" s="168"/>
      <c r="K207" s="168"/>
      <c r="L207" s="168"/>
      <c r="M207" s="168"/>
      <c r="N207" s="168"/>
      <c r="O207" s="168"/>
      <c r="P207" s="241"/>
      <c r="Q207" s="168"/>
      <c r="R207" s="168"/>
      <c r="S207" s="168"/>
      <c r="T207" s="168"/>
      <c r="U207" s="168"/>
      <c r="V207" s="168"/>
      <c r="W207" s="168"/>
      <c r="X207" s="277"/>
    </row>
    <row r="208" spans="2:24" ht="20.25" customHeight="1" thickBot="1" x14ac:dyDescent="0.2">
      <c r="G208" s="267" t="s">
        <v>250</v>
      </c>
      <c r="H208" s="358" t="s">
        <v>313</v>
      </c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486"/>
    </row>
    <row r="209" spans="6:24" ht="20.25" customHeight="1" thickBot="1" x14ac:dyDescent="0.2">
      <c r="G209" s="267" t="s">
        <v>251</v>
      </c>
      <c r="H209" s="392">
        <f>ROUND((U190*U191*U191-J211)*U206*U209,3)</f>
        <v>0</v>
      </c>
      <c r="I209" s="392"/>
      <c r="J209" s="362" t="s">
        <v>282</v>
      </c>
      <c r="K209" s="362"/>
      <c r="L209" s="168"/>
      <c r="M209" s="168"/>
      <c r="N209" s="168"/>
      <c r="O209" s="168"/>
      <c r="P209" s="168"/>
      <c r="Q209" s="484" t="s">
        <v>222</v>
      </c>
      <c r="R209" s="483"/>
      <c r="S209" s="483"/>
      <c r="T209" s="485"/>
      <c r="U209" s="399">
        <v>0.4</v>
      </c>
      <c r="V209" s="400"/>
      <c r="W209" s="168"/>
      <c r="X209" s="277"/>
    </row>
    <row r="210" spans="6:24" ht="20.25" customHeight="1" x14ac:dyDescent="0.15">
      <c r="F210" s="172" t="s">
        <v>314</v>
      </c>
      <c r="G210" s="267"/>
      <c r="H210" s="267"/>
      <c r="I210" s="267" t="s">
        <v>246</v>
      </c>
      <c r="J210" s="168" t="s">
        <v>315</v>
      </c>
      <c r="K210" s="168"/>
      <c r="L210" s="168"/>
      <c r="M210" s="168"/>
      <c r="N210" s="168"/>
      <c r="O210" s="168"/>
      <c r="P210" s="168"/>
      <c r="Q210" s="278"/>
      <c r="R210" s="168"/>
      <c r="S210" s="168"/>
      <c r="T210" s="168"/>
      <c r="U210" s="168"/>
      <c r="V210" s="168"/>
      <c r="W210" s="168"/>
      <c r="X210" s="277"/>
    </row>
    <row r="211" spans="6:24" ht="20.25" customHeight="1" x14ac:dyDescent="0.15">
      <c r="G211" s="168"/>
      <c r="H211" s="168"/>
      <c r="I211" s="267" t="s">
        <v>230</v>
      </c>
      <c r="J211" s="392">
        <f>ROUND((U204/2)^2*3.14*U205,3)</f>
        <v>0</v>
      </c>
      <c r="K211" s="392"/>
      <c r="L211" s="362" t="s">
        <v>316</v>
      </c>
      <c r="M211" s="362"/>
      <c r="N211" s="168"/>
      <c r="O211" s="168"/>
      <c r="P211" s="168"/>
      <c r="Q211" s="278"/>
      <c r="R211" s="168"/>
      <c r="S211" s="168"/>
      <c r="T211" s="168"/>
      <c r="U211" s="168"/>
      <c r="V211" s="168"/>
      <c r="W211" s="168"/>
      <c r="X211" s="277"/>
    </row>
    <row r="212" spans="6:24" ht="20.25" customHeight="1" x14ac:dyDescent="0.15"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278"/>
      <c r="R212" s="168"/>
      <c r="S212" s="168"/>
      <c r="T212" s="168"/>
      <c r="U212" s="168"/>
      <c r="V212" s="168"/>
      <c r="W212" s="168"/>
      <c r="X212" s="277"/>
    </row>
    <row r="213" spans="6:24" ht="20.25" customHeight="1" x14ac:dyDescent="0.15"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278"/>
      <c r="R213" s="168"/>
      <c r="S213" s="168"/>
      <c r="T213" s="168"/>
      <c r="U213" s="168"/>
      <c r="V213" s="168"/>
      <c r="W213" s="168"/>
      <c r="X213" s="277"/>
    </row>
    <row r="214" spans="6:24" ht="20.25" customHeight="1" x14ac:dyDescent="0.15"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278"/>
      <c r="R214" s="168"/>
      <c r="S214" s="168"/>
      <c r="T214" s="168"/>
      <c r="U214" s="168"/>
      <c r="V214" s="168"/>
      <c r="W214" s="168"/>
      <c r="X214" s="277"/>
    </row>
    <row r="215" spans="6:24" ht="20.25" customHeight="1" x14ac:dyDescent="0.15"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278"/>
      <c r="R215" s="168"/>
      <c r="S215" s="168"/>
      <c r="T215" s="168"/>
      <c r="U215" s="168"/>
      <c r="V215" s="168"/>
      <c r="W215" s="168"/>
      <c r="X215" s="277"/>
    </row>
    <row r="216" spans="6:24" ht="20.25" customHeight="1" x14ac:dyDescent="0.15">
      <c r="Q216" s="279"/>
      <c r="R216" s="275"/>
      <c r="S216" s="275"/>
      <c r="T216" s="275"/>
      <c r="U216" s="275"/>
      <c r="V216" s="275"/>
      <c r="W216" s="275"/>
      <c r="X216" s="276"/>
    </row>
    <row r="217" spans="6:24" ht="20.25" customHeight="1" x14ac:dyDescent="0.15"/>
    <row r="218" spans="6:24" ht="20.25" customHeight="1" x14ac:dyDescent="0.15"/>
  </sheetData>
  <mergeCells count="228">
    <mergeCell ref="Q170:T170"/>
    <mergeCell ref="U170:V170"/>
    <mergeCell ref="U137:X137"/>
    <mergeCell ref="M137:R137"/>
    <mergeCell ref="Q126:T126"/>
    <mergeCell ref="U166:V166"/>
    <mergeCell ref="U126:V126"/>
    <mergeCell ref="U151:V151"/>
    <mergeCell ref="J172:K172"/>
    <mergeCell ref="L172:M172"/>
    <mergeCell ref="H169:X169"/>
    <mergeCell ref="H170:I170"/>
    <mergeCell ref="J170:K170"/>
    <mergeCell ref="G164:H164"/>
    <mergeCell ref="I164:J164"/>
    <mergeCell ref="H167:I167"/>
    <mergeCell ref="J167:K167"/>
    <mergeCell ref="U167:V167"/>
    <mergeCell ref="U165:V165"/>
    <mergeCell ref="H166:Q166"/>
    <mergeCell ref="R166:T166"/>
    <mergeCell ref="A178:L178"/>
    <mergeCell ref="M178:R178"/>
    <mergeCell ref="Q181:X181"/>
    <mergeCell ref="U189:V189"/>
    <mergeCell ref="H190:I190"/>
    <mergeCell ref="U190:V190"/>
    <mergeCell ref="U191:V191"/>
    <mergeCell ref="I192:J192"/>
    <mergeCell ref="U178:X178"/>
    <mergeCell ref="H209:I209"/>
    <mergeCell ref="J209:K209"/>
    <mergeCell ref="Q209:T209"/>
    <mergeCell ref="U209:V209"/>
    <mergeCell ref="H206:I206"/>
    <mergeCell ref="J206:K206"/>
    <mergeCell ref="U206:V206"/>
    <mergeCell ref="H208:X208"/>
    <mergeCell ref="J211:K211"/>
    <mergeCell ref="L211:M211"/>
    <mergeCell ref="G197:H197"/>
    <mergeCell ref="U197:V197"/>
    <mergeCell ref="G184:H184"/>
    <mergeCell ref="U185:V185"/>
    <mergeCell ref="Q186:X186"/>
    <mergeCell ref="Q187:X187"/>
    <mergeCell ref="I194:J194"/>
    <mergeCell ref="U204:V204"/>
    <mergeCell ref="H205:Q205"/>
    <mergeCell ref="R205:T205"/>
    <mergeCell ref="U205:V205"/>
    <mergeCell ref="U199:V199"/>
    <mergeCell ref="G200:H200"/>
    <mergeCell ref="I200:J200"/>
    <mergeCell ref="G203:H203"/>
    <mergeCell ref="I203:J203"/>
    <mergeCell ref="C38:M38"/>
    <mergeCell ref="C39:M39"/>
    <mergeCell ref="N38:O38"/>
    <mergeCell ref="N39:O39"/>
    <mergeCell ref="P38:Q38"/>
    <mergeCell ref="P39:Q39"/>
    <mergeCell ref="S38:T38"/>
    <mergeCell ref="U38:V38"/>
    <mergeCell ref="U39:V39"/>
    <mergeCell ref="S39:T39"/>
    <mergeCell ref="M96:R96"/>
    <mergeCell ref="U96:X96"/>
    <mergeCell ref="Q99:X99"/>
    <mergeCell ref="G158:H158"/>
    <mergeCell ref="U158:V158"/>
    <mergeCell ref="U160:V160"/>
    <mergeCell ref="G161:H161"/>
    <mergeCell ref="I161:J161"/>
    <mergeCell ref="I110:J110"/>
    <mergeCell ref="U115:V115"/>
    <mergeCell ref="G116:H116"/>
    <mergeCell ref="I116:J116"/>
    <mergeCell ref="G119:H119"/>
    <mergeCell ref="J122:K122"/>
    <mergeCell ref="A137:L137"/>
    <mergeCell ref="I155:J155"/>
    <mergeCell ref="G143:H143"/>
    <mergeCell ref="U144:V144"/>
    <mergeCell ref="H149:I149"/>
    <mergeCell ref="Q151:T151"/>
    <mergeCell ref="Q145:X145"/>
    <mergeCell ref="I153:J153"/>
    <mergeCell ref="A3:X3"/>
    <mergeCell ref="A4:X4"/>
    <mergeCell ref="I15:J15"/>
    <mergeCell ref="I14:J14"/>
    <mergeCell ref="G11:I11"/>
    <mergeCell ref="J11:K11"/>
    <mergeCell ref="A31:D31"/>
    <mergeCell ref="M55:R55"/>
    <mergeCell ref="U27:X27"/>
    <mergeCell ref="A27:G27"/>
    <mergeCell ref="A28:G28"/>
    <mergeCell ref="A29:G29"/>
    <mergeCell ref="E30:G30"/>
    <mergeCell ref="A30:D30"/>
    <mergeCell ref="E31:G31"/>
    <mergeCell ref="A35:P35"/>
    <mergeCell ref="A32:G32"/>
    <mergeCell ref="A33:G33"/>
    <mergeCell ref="A34:G34"/>
    <mergeCell ref="H32:I32"/>
    <mergeCell ref="H34:I34"/>
    <mergeCell ref="H33:I33"/>
    <mergeCell ref="B50:C50"/>
    <mergeCell ref="M50:N50"/>
    <mergeCell ref="U1:X1"/>
    <mergeCell ref="A1:L1"/>
    <mergeCell ref="B14:H14"/>
    <mergeCell ref="T14:U14"/>
    <mergeCell ref="M1:R1"/>
    <mergeCell ref="G9:X9"/>
    <mergeCell ref="G8:H8"/>
    <mergeCell ref="B7:E7"/>
    <mergeCell ref="U107:V107"/>
    <mergeCell ref="G70:H70"/>
    <mergeCell ref="U70:V70"/>
    <mergeCell ref="I73:J73"/>
    <mergeCell ref="U72:V72"/>
    <mergeCell ref="Q104:X104"/>
    <mergeCell ref="Q105:X105"/>
    <mergeCell ref="A96:L96"/>
    <mergeCell ref="C37:M37"/>
    <mergeCell ref="E44:G44"/>
    <mergeCell ref="H44:I44"/>
    <mergeCell ref="Q58:X58"/>
    <mergeCell ref="Q64:X64"/>
    <mergeCell ref="U75:V75"/>
    <mergeCell ref="G102:H102"/>
    <mergeCell ref="U103:V103"/>
    <mergeCell ref="B51:L51"/>
    <mergeCell ref="A55:L55"/>
    <mergeCell ref="B49:C49"/>
    <mergeCell ref="D49:L49"/>
    <mergeCell ref="M49:N49"/>
    <mergeCell ref="T15:U15"/>
    <mergeCell ref="G10:I10"/>
    <mergeCell ref="J10:K10"/>
    <mergeCell ref="M14:S14"/>
    <mergeCell ref="M15:S15"/>
    <mergeCell ref="B15:H15"/>
    <mergeCell ref="U30:V30"/>
    <mergeCell ref="U35:V35"/>
    <mergeCell ref="U32:V32"/>
    <mergeCell ref="U33:V33"/>
    <mergeCell ref="U55:X55"/>
    <mergeCell ref="Q35:R35"/>
    <mergeCell ref="O44:Q44"/>
    <mergeCell ref="R44:S44"/>
    <mergeCell ref="S47:T47"/>
    <mergeCell ref="N37:O37"/>
    <mergeCell ref="Q27:T27"/>
    <mergeCell ref="S28:T28"/>
    <mergeCell ref="S29:T29"/>
    <mergeCell ref="K27:M27"/>
    <mergeCell ref="N27:P27"/>
    <mergeCell ref="K28:L28"/>
    <mergeCell ref="K29:L29"/>
    <mergeCell ref="H27:J27"/>
    <mergeCell ref="H30:I30"/>
    <mergeCell ref="H28:I28"/>
    <mergeCell ref="H29:I29"/>
    <mergeCell ref="S31:T31"/>
    <mergeCell ref="S30:T30"/>
    <mergeCell ref="Q28:R28"/>
    <mergeCell ref="Q29:R29"/>
    <mergeCell ref="N28:P28"/>
    <mergeCell ref="H31:I31"/>
    <mergeCell ref="Q31:R31"/>
    <mergeCell ref="N30:O30"/>
    <mergeCell ref="N31:O31"/>
    <mergeCell ref="N29:O29"/>
    <mergeCell ref="K30:L30"/>
    <mergeCell ref="K31:L31"/>
    <mergeCell ref="U31:V31"/>
    <mergeCell ref="U122:V122"/>
    <mergeCell ref="H122:I122"/>
    <mergeCell ref="U34:V34"/>
    <mergeCell ref="U28:V28"/>
    <mergeCell ref="W28:X28"/>
    <mergeCell ref="U29:V29"/>
    <mergeCell ref="W29:X29"/>
    <mergeCell ref="G113:H113"/>
    <mergeCell ref="U113:V113"/>
    <mergeCell ref="Q32:R32"/>
    <mergeCell ref="Q33:R33"/>
    <mergeCell ref="Q30:R30"/>
    <mergeCell ref="Q34:R34"/>
    <mergeCell ref="S32:T32"/>
    <mergeCell ref="S33:T33"/>
    <mergeCell ref="S34:T34"/>
    <mergeCell ref="O49:X49"/>
    <mergeCell ref="W30:X30"/>
    <mergeCell ref="W32:X32"/>
    <mergeCell ref="W33:X33"/>
    <mergeCell ref="W34:X34"/>
    <mergeCell ref="W35:X35"/>
    <mergeCell ref="W31:X31"/>
    <mergeCell ref="S35:T35"/>
    <mergeCell ref="I151:J151"/>
    <mergeCell ref="U150:V150"/>
    <mergeCell ref="I119:J119"/>
    <mergeCell ref="U121:V121"/>
    <mergeCell ref="Q150:T150"/>
    <mergeCell ref="Q140:X140"/>
    <mergeCell ref="Q146:X146"/>
    <mergeCell ref="H125:I125"/>
    <mergeCell ref="J125:K125"/>
    <mergeCell ref="U62:V62"/>
    <mergeCell ref="H67:I67"/>
    <mergeCell ref="U66:V66"/>
    <mergeCell ref="U68:V68"/>
    <mergeCell ref="U67:V67"/>
    <mergeCell ref="G61:H61"/>
    <mergeCell ref="G73:H73"/>
    <mergeCell ref="G76:H76"/>
    <mergeCell ref="I76:J76"/>
    <mergeCell ref="Q63:X63"/>
    <mergeCell ref="H108:I108"/>
    <mergeCell ref="U108:V108"/>
    <mergeCell ref="U109:V109"/>
    <mergeCell ref="H124:X124"/>
  </mergeCells>
  <phoneticPr fontId="2"/>
  <printOptions horizontalCentered="1"/>
  <pageMargins left="0.55118110236220474" right="0.35433070866141736" top="0.51181102362204722" bottom="0.43307086614173229" header="0.27559055118110237" footer="0.35433070866141736"/>
  <pageSetup paperSize="9" firstPageNumber="10" fitToWidth="0" orientation="portrait" r:id="rId1"/>
  <headerFooter alignWithMargins="0"/>
  <rowBreaks count="4" manualBreakCount="4">
    <brk id="54" max="23" man="1"/>
    <brk id="95" max="16383" man="1"/>
    <brk id="136" max="23" man="1"/>
    <brk id="177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view="pageBreakPreview" zoomScaleNormal="100" zoomScaleSheetLayoutView="100" workbookViewId="0">
      <selection activeCell="T12" sqref="T12"/>
    </sheetView>
  </sheetViews>
  <sheetFormatPr defaultColWidth="3.5" defaultRowHeight="17.25" customHeight="1" x14ac:dyDescent="0.15"/>
  <cols>
    <col min="1" max="23" width="4.125" style="9" customWidth="1"/>
    <col min="24" max="16384" width="3.5" style="9"/>
  </cols>
  <sheetData>
    <row r="1" spans="1:24" s="12" customFormat="1" ht="17.25" customHeight="1" x14ac:dyDescent="0.15">
      <c r="A1" s="384" t="s">
        <v>122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 t="s">
        <v>322</v>
      </c>
      <c r="N1" s="386"/>
      <c r="O1" s="386"/>
      <c r="P1" s="386"/>
      <c r="Q1" s="386"/>
      <c r="R1" s="387"/>
      <c r="S1" s="170"/>
      <c r="T1" s="170"/>
      <c r="U1" s="382" t="s">
        <v>168</v>
      </c>
      <c r="V1" s="383"/>
      <c r="W1" s="383"/>
    </row>
    <row r="2" spans="1:24" s="172" customFormat="1" ht="17.25" customHeight="1" x14ac:dyDescent="0.15">
      <c r="A2" s="12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s="172" customFormat="1" ht="17.25" customHeight="1" x14ac:dyDescent="0.15">
      <c r="A3" s="488" t="s">
        <v>328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171"/>
    </row>
    <row r="4" spans="1:24" s="172" customFormat="1" ht="17.25" customHeight="1" x14ac:dyDescent="0.15">
      <c r="A4" s="488" t="s">
        <v>326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171"/>
    </row>
    <row r="5" spans="1:24" s="172" customFormat="1" ht="17.25" customHeight="1" x14ac:dyDescent="0.15">
      <c r="A5" s="488" t="s">
        <v>327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171"/>
    </row>
    <row r="6" spans="1:24" s="172" customFormat="1" ht="17.25" customHeight="1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1"/>
      <c r="X6" s="171"/>
    </row>
    <row r="7" spans="1:24" s="172" customFormat="1" ht="17.25" customHeight="1" x14ac:dyDescent="0.15">
      <c r="A7" s="188" t="s">
        <v>138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1"/>
    </row>
    <row r="8" spans="1:24" ht="17.2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</row>
    <row r="9" spans="1:24" ht="17.25" customHeight="1" x14ac:dyDescent="0.15">
      <c r="A9" s="245"/>
      <c r="B9" s="245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</row>
    <row r="10" spans="1:24" ht="17.25" customHeight="1" x14ac:dyDescent="0.15">
      <c r="A10" s="245"/>
      <c r="B10" s="245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</row>
    <row r="11" spans="1:24" ht="17.25" customHeight="1" x14ac:dyDescent="0.15">
      <c r="A11" s="245"/>
      <c r="B11" s="245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</row>
    <row r="12" spans="1:24" ht="17.25" customHeight="1" x14ac:dyDescent="0.15">
      <c r="A12" s="245"/>
      <c r="B12" s="245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</row>
    <row r="13" spans="1:24" ht="17.25" customHeight="1" x14ac:dyDescent="0.15">
      <c r="A13" s="245"/>
      <c r="B13" s="245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</row>
    <row r="14" spans="1:24" ht="17.25" customHeight="1" x14ac:dyDescent="0.15">
      <c r="A14" s="245"/>
      <c r="B14" s="245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</row>
    <row r="15" spans="1:24" ht="17.25" customHeight="1" x14ac:dyDescent="0.15">
      <c r="A15" s="245"/>
      <c r="B15" s="245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</row>
    <row r="16" spans="1:24" ht="17.25" customHeight="1" x14ac:dyDescent="0.15">
      <c r="A16" s="245"/>
      <c r="B16" s="245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</row>
    <row r="17" spans="1:26" ht="17.25" customHeight="1" x14ac:dyDescent="0.15">
      <c r="A17" s="245"/>
      <c r="B17" s="245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</row>
    <row r="18" spans="1:26" ht="17.25" customHeight="1" x14ac:dyDescent="0.15">
      <c r="A18" s="245"/>
      <c r="B18" s="245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</row>
    <row r="19" spans="1:26" ht="17.25" customHeight="1" x14ac:dyDescent="0.15">
      <c r="A19" s="245"/>
      <c r="B19" s="245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</row>
    <row r="20" spans="1:26" ht="17.25" customHeight="1" x14ac:dyDescent="0.15">
      <c r="A20" s="245"/>
      <c r="B20" s="245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</row>
    <row r="21" spans="1:26" ht="17.25" customHeight="1" x14ac:dyDescent="0.15">
      <c r="A21" s="490" t="s">
        <v>323</v>
      </c>
      <c r="B21" s="490"/>
      <c r="C21" s="490"/>
      <c r="D21" s="490"/>
      <c r="E21" s="490"/>
      <c r="F21" s="490"/>
      <c r="G21" s="490"/>
      <c r="H21" s="246"/>
      <c r="I21" s="189"/>
      <c r="J21" s="189"/>
      <c r="K21" s="189"/>
      <c r="L21" s="208"/>
      <c r="M21" s="189"/>
      <c r="N21" s="189"/>
      <c r="O21" s="189"/>
      <c r="P21" s="208"/>
      <c r="Q21" s="208"/>
      <c r="R21" s="189"/>
      <c r="S21" s="189"/>
      <c r="T21" s="189"/>
      <c r="U21" s="208"/>
      <c r="V21" s="168"/>
      <c r="W21" s="168"/>
      <c r="X21" s="2"/>
      <c r="Y21" s="2"/>
      <c r="Z21" s="2"/>
    </row>
    <row r="22" spans="1:26" s="172" customFormat="1" ht="17.25" customHeight="1" x14ac:dyDescent="0.15">
      <c r="A22" s="3"/>
      <c r="B22" s="176" t="s">
        <v>341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363" t="s">
        <v>295</v>
      </c>
      <c r="Q22" s="364"/>
      <c r="R22" s="364"/>
      <c r="S22" s="364"/>
      <c r="T22" s="364"/>
      <c r="U22" s="364"/>
      <c r="V22" s="364"/>
      <c r="W22" s="365"/>
      <c r="X22" s="171"/>
    </row>
    <row r="23" spans="1:26" s="172" customFormat="1" ht="17.25" customHeight="1" x14ac:dyDescent="0.15">
      <c r="A23" s="3"/>
      <c r="E23" s="177" t="s">
        <v>30</v>
      </c>
      <c r="F23" s="178" t="s">
        <v>421</v>
      </c>
      <c r="G23" s="178"/>
      <c r="H23" s="178"/>
      <c r="I23" s="178"/>
      <c r="P23" s="223"/>
      <c r="Q23" s="168"/>
      <c r="R23" s="168"/>
      <c r="S23" s="168"/>
      <c r="T23" s="168"/>
      <c r="U23" s="168"/>
      <c r="V23" s="168"/>
      <c r="W23" s="241"/>
    </row>
    <row r="24" spans="1:26" s="172" customFormat="1" ht="17.25" customHeight="1" x14ac:dyDescent="0.15">
      <c r="A24" s="3"/>
      <c r="E24" s="180" t="s">
        <v>30</v>
      </c>
      <c r="F24" s="369">
        <f>ROUND(1/3600000*U24*100*U25,5)</f>
        <v>0</v>
      </c>
      <c r="G24" s="369"/>
      <c r="H24" s="369"/>
      <c r="I24" s="359" t="s">
        <v>253</v>
      </c>
      <c r="J24" s="359"/>
      <c r="P24" s="223"/>
      <c r="Q24" s="357" t="s">
        <v>331</v>
      </c>
      <c r="R24" s="357"/>
      <c r="S24" s="357"/>
      <c r="T24" s="357"/>
      <c r="U24" s="366">
        <f>'１条件記入、流下能力算定'!D27</f>
        <v>0</v>
      </c>
      <c r="V24" s="366"/>
      <c r="W24" s="241"/>
    </row>
    <row r="25" spans="1:26" s="172" customFormat="1" ht="17.25" customHeight="1" x14ac:dyDescent="0.15">
      <c r="A25" s="3"/>
      <c r="P25" s="224"/>
      <c r="Q25" s="357" t="s">
        <v>173</v>
      </c>
      <c r="R25" s="357"/>
      <c r="S25" s="357"/>
      <c r="T25" s="357"/>
      <c r="U25" s="361">
        <f>ROUND('１条件記入、流下能力算定'!D19,1)</f>
        <v>0</v>
      </c>
      <c r="V25" s="361"/>
      <c r="W25" s="268" t="s">
        <v>252</v>
      </c>
    </row>
    <row r="26" spans="1:26" s="172" customFormat="1" ht="17.25" customHeight="1" x14ac:dyDescent="0.15">
      <c r="A26" s="3"/>
      <c r="B26" s="172" t="s">
        <v>342</v>
      </c>
      <c r="P26" s="223"/>
      <c r="Q26" s="358"/>
      <c r="R26" s="358"/>
      <c r="S26" s="358"/>
      <c r="T26" s="358"/>
      <c r="U26" s="362"/>
      <c r="V26" s="362"/>
      <c r="W26" s="241"/>
    </row>
    <row r="27" spans="1:26" s="172" customFormat="1" ht="17.25" customHeight="1" x14ac:dyDescent="0.15">
      <c r="A27" s="3"/>
      <c r="B27" s="178"/>
      <c r="C27" s="178"/>
      <c r="D27" s="178"/>
      <c r="E27" s="177" t="s">
        <v>141</v>
      </c>
      <c r="F27" s="178" t="s">
        <v>409</v>
      </c>
      <c r="G27" s="178"/>
      <c r="H27" s="178"/>
      <c r="I27" s="178"/>
      <c r="J27" s="178"/>
      <c r="O27" s="176"/>
      <c r="P27" s="223"/>
      <c r="Q27" s="168"/>
      <c r="R27" s="168"/>
      <c r="S27" s="168"/>
      <c r="T27" s="168"/>
      <c r="U27" s="168"/>
      <c r="V27" s="168"/>
      <c r="W27" s="241"/>
    </row>
    <row r="28" spans="1:26" s="172" customFormat="1" ht="17.25" customHeight="1" x14ac:dyDescent="0.15">
      <c r="A28" s="3"/>
      <c r="B28" s="178"/>
      <c r="C28" s="178"/>
      <c r="D28" s="178"/>
      <c r="E28" s="180" t="s">
        <v>141</v>
      </c>
      <c r="F28" s="369">
        <f>ROUND(U28*U29/(24*60*60),5)</f>
        <v>0</v>
      </c>
      <c r="G28" s="369"/>
      <c r="H28" s="369"/>
      <c r="I28" s="359" t="s">
        <v>253</v>
      </c>
      <c r="J28" s="359"/>
      <c r="K28" s="182"/>
      <c r="M28" s="184"/>
      <c r="N28" s="184"/>
      <c r="O28" s="248"/>
      <c r="P28" s="225"/>
      <c r="Q28" s="357" t="s">
        <v>24</v>
      </c>
      <c r="R28" s="357"/>
      <c r="S28" s="357"/>
      <c r="T28" s="357"/>
      <c r="U28" s="367">
        <f>'１条件記入、流下能力算定'!D37</f>
        <v>0</v>
      </c>
      <c r="V28" s="367"/>
      <c r="W28" s="241" t="s">
        <v>254</v>
      </c>
    </row>
    <row r="29" spans="1:26" s="172" customFormat="1" ht="17.25" customHeight="1" x14ac:dyDescent="0.15">
      <c r="A29" s="3"/>
      <c r="M29" s="176"/>
      <c r="N29" s="176"/>
      <c r="O29" s="176"/>
      <c r="P29" s="225"/>
      <c r="Q29" s="357" t="s">
        <v>408</v>
      </c>
      <c r="R29" s="357"/>
      <c r="S29" s="357"/>
      <c r="T29" s="357"/>
      <c r="U29" s="367">
        <f>'１条件記入、流下能力算定'!E36</f>
        <v>0</v>
      </c>
      <c r="V29" s="367"/>
      <c r="W29" s="241"/>
    </row>
    <row r="30" spans="1:26" s="172" customFormat="1" ht="17.25" customHeight="1" x14ac:dyDescent="0.15">
      <c r="A30" s="12"/>
      <c r="B30" s="178" t="s">
        <v>343</v>
      </c>
      <c r="C30" s="178"/>
      <c r="D30" s="178"/>
      <c r="E30" s="183"/>
      <c r="F30" s="184"/>
      <c r="G30" s="184"/>
      <c r="H30" s="184"/>
      <c r="I30" s="184"/>
      <c r="J30" s="184"/>
      <c r="K30" s="184"/>
      <c r="L30" s="184"/>
      <c r="M30" s="176"/>
      <c r="N30" s="176"/>
      <c r="O30" s="176"/>
      <c r="P30" s="225"/>
      <c r="Q30" s="168"/>
      <c r="R30" s="168"/>
      <c r="S30" s="168"/>
      <c r="T30" s="168"/>
      <c r="U30" s="168"/>
      <c r="V30" s="493" t="str">
        <f>IF(U29=1,"機能あり","機能なし")</f>
        <v>機能なし</v>
      </c>
      <c r="W30" s="494"/>
    </row>
    <row r="31" spans="1:26" s="172" customFormat="1" ht="17.25" customHeight="1" x14ac:dyDescent="0.15">
      <c r="A31" s="12"/>
      <c r="B31" s="178"/>
      <c r="C31" s="178" t="s">
        <v>329</v>
      </c>
      <c r="D31" s="178"/>
      <c r="E31" s="177" t="s">
        <v>30</v>
      </c>
      <c r="F31" s="178" t="s">
        <v>422</v>
      </c>
      <c r="G31" s="178"/>
      <c r="H31" s="178"/>
      <c r="I31" s="180"/>
      <c r="J31" s="176"/>
      <c r="K31" s="176"/>
      <c r="L31" s="176"/>
      <c r="M31" s="185"/>
      <c r="N31" s="185"/>
      <c r="O31" s="185"/>
      <c r="P31" s="225"/>
      <c r="Q31" s="168"/>
      <c r="R31" s="168"/>
      <c r="S31" s="168"/>
      <c r="T31" s="168"/>
      <c r="U31" s="168"/>
      <c r="V31" s="168"/>
      <c r="W31" s="241"/>
    </row>
    <row r="32" spans="1:26" s="172" customFormat="1" ht="17.25" customHeight="1" x14ac:dyDescent="0.15">
      <c r="A32" s="12"/>
      <c r="B32" s="178"/>
      <c r="C32" s="178"/>
      <c r="D32" s="178"/>
      <c r="E32" s="180" t="s">
        <v>30</v>
      </c>
      <c r="F32" s="369">
        <f>ROUND(1/3600000*U32*100*U33,5)</f>
        <v>0</v>
      </c>
      <c r="G32" s="369"/>
      <c r="H32" s="369"/>
      <c r="I32" s="359" t="s">
        <v>253</v>
      </c>
      <c r="J32" s="359"/>
      <c r="K32" s="176"/>
      <c r="L32" s="176"/>
      <c r="P32" s="225"/>
      <c r="Q32" s="357" t="s">
        <v>324</v>
      </c>
      <c r="R32" s="357"/>
      <c r="S32" s="357"/>
      <c r="T32" s="357"/>
      <c r="U32" s="379">
        <f>'１条件記入、流下能力算定'!D28</f>
        <v>0.9</v>
      </c>
      <c r="V32" s="379"/>
      <c r="W32" s="241"/>
    </row>
    <row r="33" spans="1:23" s="172" customFormat="1" ht="17.25" customHeight="1" x14ac:dyDescent="0.15">
      <c r="A33" s="12"/>
      <c r="B33" s="164"/>
      <c r="D33" s="164"/>
      <c r="P33" s="225"/>
      <c r="Q33" s="380" t="s">
        <v>340</v>
      </c>
      <c r="R33" s="380"/>
      <c r="S33" s="380"/>
      <c r="T33" s="380"/>
      <c r="U33" s="379">
        <f>'１条件記入、流下能力算定'!D20</f>
        <v>0</v>
      </c>
      <c r="V33" s="379"/>
      <c r="W33" s="268" t="s">
        <v>252</v>
      </c>
    </row>
    <row r="34" spans="1:23" s="172" customFormat="1" ht="17.25" customHeight="1" x14ac:dyDescent="0.15">
      <c r="A34" s="12"/>
      <c r="B34" s="164"/>
      <c r="C34" s="178" t="s">
        <v>332</v>
      </c>
      <c r="D34" s="164"/>
      <c r="P34" s="225"/>
      <c r="Q34" s="168"/>
      <c r="R34" s="168"/>
      <c r="S34" s="168"/>
      <c r="T34" s="168"/>
      <c r="U34" s="168"/>
      <c r="V34" s="168"/>
      <c r="W34" s="241"/>
    </row>
    <row r="35" spans="1:23" s="172" customFormat="1" ht="17.25" customHeight="1" x14ac:dyDescent="0.15">
      <c r="A35" s="12"/>
      <c r="B35" s="164"/>
      <c r="E35" s="177" t="s">
        <v>30</v>
      </c>
      <c r="F35" s="178" t="s">
        <v>423</v>
      </c>
      <c r="G35" s="178"/>
      <c r="H35" s="178"/>
      <c r="I35" s="180"/>
      <c r="J35" s="176"/>
      <c r="P35" s="225"/>
      <c r="Q35" s="168"/>
      <c r="R35" s="168"/>
      <c r="S35" s="168"/>
      <c r="T35" s="168"/>
      <c r="U35" s="168"/>
      <c r="V35" s="168"/>
      <c r="W35" s="241"/>
    </row>
    <row r="36" spans="1:23" s="172" customFormat="1" ht="17.25" customHeight="1" x14ac:dyDescent="0.15">
      <c r="A36" s="12"/>
      <c r="B36" s="164"/>
      <c r="C36" s="164"/>
      <c r="D36" s="164"/>
      <c r="E36" s="180" t="s">
        <v>30</v>
      </c>
      <c r="F36" s="369">
        <f>ROUND(1/3600000*U36*100*U37,5)</f>
        <v>0</v>
      </c>
      <c r="G36" s="369"/>
      <c r="H36" s="369"/>
      <c r="I36" s="359" t="s">
        <v>253</v>
      </c>
      <c r="J36" s="359"/>
      <c r="P36" s="225"/>
      <c r="Q36" s="357" t="s">
        <v>333</v>
      </c>
      <c r="R36" s="357"/>
      <c r="S36" s="357"/>
      <c r="T36" s="357"/>
      <c r="U36" s="379">
        <f>'１条件記入、流下能力算定'!D29</f>
        <v>0.6</v>
      </c>
      <c r="V36" s="379"/>
      <c r="W36" s="241"/>
    </row>
    <row r="37" spans="1:23" s="172" customFormat="1" ht="17.25" customHeight="1" x14ac:dyDescent="0.15">
      <c r="A37" s="12"/>
      <c r="B37" s="164"/>
      <c r="C37" s="164"/>
      <c r="D37" s="164"/>
      <c r="P37" s="225"/>
      <c r="Q37" s="357" t="s">
        <v>334</v>
      </c>
      <c r="R37" s="357"/>
      <c r="S37" s="357"/>
      <c r="T37" s="357"/>
      <c r="U37" s="361">
        <f>'１条件記入、流下能力算定'!D21</f>
        <v>0</v>
      </c>
      <c r="V37" s="361"/>
      <c r="W37" s="268" t="s">
        <v>252</v>
      </c>
    </row>
    <row r="38" spans="1:23" s="172" customFormat="1" ht="17.25" customHeight="1" x14ac:dyDescent="0.15">
      <c r="A38" s="12"/>
      <c r="B38" s="164"/>
      <c r="C38" s="178" t="s">
        <v>335</v>
      </c>
      <c r="D38" s="164"/>
      <c r="P38" s="225"/>
      <c r="Q38" s="168"/>
      <c r="R38" s="168"/>
      <c r="S38" s="168"/>
      <c r="T38" s="168"/>
      <c r="U38" s="168"/>
      <c r="V38" s="168"/>
      <c r="W38" s="241"/>
    </row>
    <row r="39" spans="1:23" s="172" customFormat="1" ht="17.25" customHeight="1" x14ac:dyDescent="0.15">
      <c r="A39" s="12"/>
      <c r="B39" s="164"/>
      <c r="E39" s="177" t="s">
        <v>30</v>
      </c>
      <c r="F39" s="178" t="s">
        <v>423</v>
      </c>
      <c r="G39" s="178"/>
      <c r="H39" s="178"/>
      <c r="I39" s="180"/>
      <c r="J39" s="176"/>
      <c r="P39" s="225"/>
      <c r="Q39" s="186"/>
      <c r="R39" s="186"/>
      <c r="S39" s="186"/>
      <c r="T39" s="186"/>
      <c r="U39" s="186"/>
      <c r="V39" s="186"/>
      <c r="W39" s="241"/>
    </row>
    <row r="40" spans="1:23" s="172" customFormat="1" ht="17.25" customHeight="1" x14ac:dyDescent="0.15">
      <c r="A40" s="12"/>
      <c r="B40" s="164"/>
      <c r="C40" s="164"/>
      <c r="D40" s="164"/>
      <c r="E40" s="180" t="s">
        <v>30</v>
      </c>
      <c r="F40" s="369">
        <f>ROUND(1/3600000*U40*100*U41,5)</f>
        <v>0</v>
      </c>
      <c r="G40" s="369"/>
      <c r="H40" s="369"/>
      <c r="I40" s="359" t="s">
        <v>253</v>
      </c>
      <c r="J40" s="359"/>
      <c r="P40" s="225"/>
      <c r="Q40" s="357" t="s">
        <v>336</v>
      </c>
      <c r="R40" s="357"/>
      <c r="S40" s="357"/>
      <c r="T40" s="357"/>
      <c r="U40" s="379">
        <f>'１条件記入、流下能力算定'!D30</f>
        <v>0.8</v>
      </c>
      <c r="V40" s="379"/>
      <c r="W40" s="241"/>
    </row>
    <row r="41" spans="1:23" s="172" customFormat="1" ht="17.25" customHeight="1" x14ac:dyDescent="0.15">
      <c r="A41" s="12"/>
      <c r="B41" s="164"/>
      <c r="C41" s="164"/>
      <c r="D41" s="164"/>
      <c r="P41" s="225"/>
      <c r="Q41" s="357" t="s">
        <v>337</v>
      </c>
      <c r="R41" s="357"/>
      <c r="S41" s="357"/>
      <c r="T41" s="357"/>
      <c r="U41" s="361">
        <f>'１条件記入、流下能力算定'!D22</f>
        <v>0</v>
      </c>
      <c r="V41" s="361"/>
      <c r="W41" s="268" t="s">
        <v>252</v>
      </c>
    </row>
    <row r="42" spans="1:23" s="172" customFormat="1" ht="17.25" customHeight="1" x14ac:dyDescent="0.15">
      <c r="A42" s="12"/>
      <c r="B42" s="178" t="s">
        <v>344</v>
      </c>
      <c r="C42" s="164"/>
      <c r="D42" s="164"/>
      <c r="P42" s="225"/>
      <c r="Q42" s="168"/>
      <c r="R42" s="168"/>
      <c r="S42" s="168"/>
      <c r="T42" s="168"/>
      <c r="U42" s="168"/>
      <c r="V42" s="168"/>
      <c r="W42" s="241"/>
    </row>
    <row r="43" spans="1:23" s="172" customFormat="1" ht="17.25" customHeight="1" x14ac:dyDescent="0.15">
      <c r="A43" s="12"/>
      <c r="B43" s="164"/>
      <c r="C43" s="164"/>
      <c r="D43" s="164"/>
      <c r="F43" s="178" t="s">
        <v>424</v>
      </c>
      <c r="G43" s="178"/>
      <c r="H43" s="178"/>
      <c r="I43" s="180"/>
      <c r="J43" s="176"/>
      <c r="P43" s="225"/>
      <c r="Q43" s="186"/>
      <c r="R43" s="186"/>
      <c r="S43" s="186"/>
      <c r="T43" s="186"/>
      <c r="U43" s="186"/>
      <c r="V43" s="186"/>
      <c r="W43" s="241"/>
    </row>
    <row r="44" spans="1:23" s="172" customFormat="1" ht="17.25" customHeight="1" x14ac:dyDescent="0.15">
      <c r="A44" s="12"/>
      <c r="B44" s="164"/>
      <c r="C44" s="164"/>
      <c r="D44" s="164"/>
      <c r="E44" s="180" t="s">
        <v>30</v>
      </c>
      <c r="F44" s="369">
        <f>ROUND(1/3600000*U44*100*U45,5)</f>
        <v>0</v>
      </c>
      <c r="G44" s="369"/>
      <c r="H44" s="369"/>
      <c r="I44" s="359" t="s">
        <v>253</v>
      </c>
      <c r="J44" s="359"/>
      <c r="P44" s="225"/>
      <c r="Q44" s="357" t="s">
        <v>338</v>
      </c>
      <c r="R44" s="357"/>
      <c r="S44" s="357"/>
      <c r="T44" s="357"/>
      <c r="U44" s="379">
        <f>'１条件記入、流下能力算定'!D31</f>
        <v>0</v>
      </c>
      <c r="V44" s="379"/>
      <c r="W44" s="241"/>
    </row>
    <row r="45" spans="1:23" s="172" customFormat="1" ht="17.25" customHeight="1" x14ac:dyDescent="0.15">
      <c r="A45" s="12"/>
      <c r="B45" s="164"/>
      <c r="C45" s="164"/>
      <c r="D45" s="164"/>
      <c r="P45" s="225"/>
      <c r="Q45" s="357" t="s">
        <v>339</v>
      </c>
      <c r="R45" s="357"/>
      <c r="S45" s="357"/>
      <c r="T45" s="357"/>
      <c r="U45" s="361">
        <f>'１条件記入、流下能力算定'!D23</f>
        <v>0</v>
      </c>
      <c r="V45" s="361"/>
      <c r="W45" s="268" t="s">
        <v>252</v>
      </c>
    </row>
    <row r="46" spans="1:23" s="172" customFormat="1" ht="17.25" customHeight="1" x14ac:dyDescent="0.15">
      <c r="A46" s="12"/>
      <c r="D46" s="164"/>
      <c r="P46" s="225"/>
      <c r="Q46" s="186"/>
      <c r="R46" s="186"/>
      <c r="S46" s="186"/>
      <c r="T46" s="186"/>
      <c r="U46" s="186"/>
      <c r="V46" s="186"/>
      <c r="W46" s="241"/>
    </row>
    <row r="47" spans="1:23" s="172" customFormat="1" ht="17.25" customHeight="1" x14ac:dyDescent="0.15">
      <c r="A47" s="12"/>
      <c r="B47" s="172" t="s">
        <v>345</v>
      </c>
      <c r="C47" s="164"/>
      <c r="D47" s="164"/>
      <c r="E47" s="177" t="s">
        <v>30</v>
      </c>
      <c r="F47" s="369">
        <f>SUM(F24,F28,F32,F36,F40,F44)</f>
        <v>0</v>
      </c>
      <c r="G47" s="369"/>
      <c r="H47" s="369"/>
      <c r="I47" s="359" t="s">
        <v>253</v>
      </c>
      <c r="J47" s="359"/>
      <c r="K47" s="185"/>
      <c r="P47" s="281"/>
      <c r="Q47" s="282"/>
      <c r="R47" s="282"/>
      <c r="S47" s="282"/>
      <c r="T47" s="282"/>
      <c r="U47" s="282"/>
      <c r="V47" s="282"/>
      <c r="W47" s="271"/>
    </row>
    <row r="48" spans="1:23" s="172" customFormat="1" ht="17.25" customHeight="1" x14ac:dyDescent="0.15">
      <c r="A48" s="12"/>
      <c r="B48" s="164"/>
      <c r="C48" s="164"/>
      <c r="D48" s="164"/>
      <c r="N48" s="168"/>
      <c r="O48" s="168"/>
      <c r="P48" s="185"/>
      <c r="Q48" s="186"/>
      <c r="R48" s="186"/>
      <c r="S48" s="186"/>
      <c r="T48" s="186"/>
      <c r="U48" s="186"/>
      <c r="V48" s="186"/>
      <c r="W48" s="168"/>
    </row>
    <row r="49" spans="1:24" s="12" customFormat="1" ht="19.5" customHeight="1" x14ac:dyDescent="0.15">
      <c r="A49" s="384" t="s">
        <v>122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5" t="s">
        <v>322</v>
      </c>
      <c r="N49" s="386"/>
      <c r="O49" s="386"/>
      <c r="P49" s="386"/>
      <c r="Q49" s="386"/>
      <c r="R49" s="387"/>
      <c r="S49" s="170"/>
      <c r="T49" s="170"/>
      <c r="U49" s="382" t="s">
        <v>346</v>
      </c>
      <c r="V49" s="383"/>
      <c r="W49" s="383"/>
    </row>
    <row r="50" spans="1:24" s="172" customFormat="1" ht="17.25" customHeight="1" x14ac:dyDescent="0.15">
      <c r="A50" s="12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</row>
    <row r="51" spans="1:24" s="172" customFormat="1" ht="17.25" customHeight="1" x14ac:dyDescent="0.15">
      <c r="A51" s="3" t="s">
        <v>147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68"/>
      <c r="Q51" s="185"/>
      <c r="R51" s="185"/>
      <c r="S51" s="185"/>
      <c r="T51" s="185"/>
      <c r="U51" s="185"/>
      <c r="V51" s="185"/>
      <c r="W51" s="168"/>
    </row>
    <row r="52" spans="1:24" s="172" customFormat="1" ht="17.25" customHeight="1" x14ac:dyDescent="0.15">
      <c r="A52" s="3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68"/>
    </row>
    <row r="53" spans="1:24" s="172" customFormat="1" ht="17.25" customHeight="1" x14ac:dyDescent="0.15">
      <c r="A53" s="3"/>
      <c r="B53" s="489" t="s">
        <v>394</v>
      </c>
      <c r="C53" s="489"/>
      <c r="D53" s="489"/>
      <c r="E53" s="177" t="s">
        <v>30</v>
      </c>
      <c r="F53" s="369">
        <f>F47</f>
        <v>0</v>
      </c>
      <c r="G53" s="369"/>
      <c r="H53" s="369"/>
      <c r="I53" s="359" t="s">
        <v>253</v>
      </c>
      <c r="J53" s="359"/>
      <c r="K53" s="185" t="s">
        <v>259</v>
      </c>
      <c r="L53" s="185"/>
      <c r="M53" s="185"/>
      <c r="N53" s="185"/>
      <c r="O53" s="185"/>
      <c r="P53" s="168"/>
      <c r="Q53" s="185"/>
      <c r="R53" s="185"/>
      <c r="S53" s="185"/>
      <c r="T53" s="185"/>
      <c r="U53" s="185"/>
      <c r="V53" s="185"/>
      <c r="W53" s="168"/>
    </row>
    <row r="54" spans="1:24" s="172" customFormat="1" ht="17.25" customHeight="1" x14ac:dyDescent="0.15">
      <c r="A54" s="3"/>
      <c r="B54" s="489"/>
      <c r="C54" s="489"/>
      <c r="D54" s="489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249"/>
      <c r="P54" s="168"/>
      <c r="Q54" s="185"/>
      <c r="R54" s="185"/>
      <c r="S54" s="185"/>
      <c r="T54" s="185"/>
      <c r="U54" s="185"/>
      <c r="V54" s="185"/>
      <c r="W54" s="168"/>
    </row>
    <row r="55" spans="1:24" s="172" customFormat="1" ht="17.25" customHeight="1" x14ac:dyDescent="0.15">
      <c r="A55" s="12"/>
      <c r="B55" s="451" t="s">
        <v>395</v>
      </c>
      <c r="C55" s="451"/>
      <c r="D55" s="451"/>
      <c r="E55" s="177" t="s">
        <v>30</v>
      </c>
      <c r="F55" s="450" t="e">
        <f>'１条件記入、流下能力算定'!D58</f>
        <v>#DIV/0!</v>
      </c>
      <c r="G55" s="450"/>
      <c r="H55" s="450"/>
      <c r="I55" s="359" t="s">
        <v>253</v>
      </c>
      <c r="J55" s="359"/>
      <c r="K55" s="185" t="s">
        <v>347</v>
      </c>
      <c r="L55" s="185"/>
      <c r="M55" s="185"/>
      <c r="N55" s="185"/>
      <c r="O55" s="185"/>
      <c r="P55" s="168"/>
      <c r="Q55" s="168"/>
      <c r="R55" s="168"/>
      <c r="S55" s="168"/>
      <c r="T55" s="168"/>
      <c r="U55" s="168"/>
      <c r="V55" s="168"/>
      <c r="W55" s="168"/>
    </row>
    <row r="56" spans="1:24" s="172" customFormat="1" ht="17.25" customHeight="1" x14ac:dyDescent="0.15">
      <c r="A56" s="3"/>
      <c r="B56" s="168"/>
      <c r="C56" s="168"/>
      <c r="D56" s="168"/>
      <c r="E56" s="168"/>
      <c r="F56" s="185"/>
      <c r="G56" s="185"/>
      <c r="M56" s="185"/>
      <c r="N56" s="185"/>
      <c r="O56" s="185"/>
      <c r="Q56" s="188"/>
      <c r="R56" s="188"/>
      <c r="S56" s="188"/>
      <c r="T56" s="188"/>
      <c r="U56" s="188"/>
      <c r="V56" s="188"/>
      <c r="W56" s="188"/>
    </row>
    <row r="57" spans="1:24" s="172" customFormat="1" ht="17.25" customHeight="1" thickBot="1" x14ac:dyDescent="0.2">
      <c r="A57" s="12"/>
      <c r="M57" s="185"/>
      <c r="N57" s="185"/>
      <c r="O57" s="185"/>
      <c r="P57" s="185"/>
      <c r="Q57" s="185"/>
      <c r="R57" s="188"/>
      <c r="S57" s="188"/>
      <c r="T57" s="188"/>
      <c r="U57" s="188"/>
      <c r="V57" s="188"/>
      <c r="W57" s="188"/>
    </row>
    <row r="58" spans="1:24" s="172" customFormat="1" ht="17.25" customHeight="1" thickTop="1" x14ac:dyDescent="0.15">
      <c r="A58" s="214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7"/>
    </row>
    <row r="59" spans="1:24" s="172" customFormat="1" ht="17.25" customHeight="1" x14ac:dyDescent="0.15">
      <c r="A59" s="218"/>
      <c r="B59" s="151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144"/>
      <c r="N59" s="144"/>
      <c r="O59" s="144"/>
      <c r="P59" s="163" t="s">
        <v>160</v>
      </c>
      <c r="Q59" s="163"/>
      <c r="R59" s="163"/>
      <c r="S59" s="381" t="e">
        <f>IF(F53&gt;F55,"①＞②","①＜②")</f>
        <v>#DIV/0!</v>
      </c>
      <c r="T59" s="381"/>
      <c r="U59" s="163"/>
      <c r="V59" s="144"/>
      <c r="W59" s="230"/>
    </row>
    <row r="60" spans="1:24" s="172" customFormat="1" ht="9.75" customHeight="1" thickBot="1" x14ac:dyDescent="0.2">
      <c r="A60" s="21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144"/>
      <c r="N60" s="144"/>
      <c r="O60" s="144"/>
      <c r="P60" s="144"/>
      <c r="Q60" s="60"/>
      <c r="R60" s="60"/>
      <c r="S60" s="60"/>
      <c r="T60" s="60"/>
      <c r="U60" s="60"/>
      <c r="V60" s="60"/>
      <c r="W60" s="148"/>
    </row>
    <row r="61" spans="1:24" s="172" customFormat="1" ht="27" customHeight="1" thickBot="1" x14ac:dyDescent="0.2">
      <c r="A61" s="220"/>
      <c r="B61" s="491" t="str">
        <f>IFERROR(IF(F53&gt;F55,"○",""),"")</f>
        <v/>
      </c>
      <c r="C61" s="492"/>
      <c r="D61" s="374" t="s">
        <v>287</v>
      </c>
      <c r="E61" s="375"/>
      <c r="F61" s="375"/>
      <c r="G61" s="375"/>
      <c r="H61" s="375"/>
      <c r="I61" s="375"/>
      <c r="J61" s="375"/>
      <c r="K61" s="375"/>
      <c r="L61" s="376"/>
      <c r="M61" s="491" t="str">
        <f>IFERROR(IF(F53&lt;F55,"○",""),"")</f>
        <v/>
      </c>
      <c r="N61" s="492"/>
      <c r="O61" s="374" t="s">
        <v>288</v>
      </c>
      <c r="P61" s="375"/>
      <c r="Q61" s="375"/>
      <c r="R61" s="375"/>
      <c r="S61" s="375"/>
      <c r="T61" s="375"/>
      <c r="U61" s="375"/>
      <c r="V61" s="375"/>
      <c r="W61" s="377"/>
    </row>
    <row r="62" spans="1:24" s="172" customFormat="1" ht="20.25" customHeight="1" x14ac:dyDescent="0.15">
      <c r="A62" s="220"/>
      <c r="B62" s="370" t="s">
        <v>285</v>
      </c>
      <c r="C62" s="370"/>
      <c r="D62" s="60"/>
      <c r="E62" s="60"/>
      <c r="F62" s="60"/>
      <c r="G62" s="60"/>
      <c r="H62" s="60"/>
      <c r="I62" s="60"/>
      <c r="J62" s="60"/>
      <c r="K62" s="60"/>
      <c r="L62" s="60"/>
      <c r="M62" s="370" t="s">
        <v>285</v>
      </c>
      <c r="N62" s="370"/>
      <c r="O62" s="60"/>
      <c r="P62" s="229"/>
      <c r="Q62" s="231"/>
      <c r="R62" s="231"/>
      <c r="S62" s="231"/>
      <c r="T62" s="231"/>
      <c r="U62" s="231"/>
      <c r="V62" s="231"/>
      <c r="W62" s="232"/>
    </row>
    <row r="63" spans="1:24" s="172" customFormat="1" ht="17.25" customHeight="1" x14ac:dyDescent="0.15">
      <c r="A63" s="220"/>
      <c r="B63" s="371" t="s">
        <v>396</v>
      </c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144" t="s">
        <v>171</v>
      </c>
      <c r="N63" s="144"/>
      <c r="O63" s="144"/>
      <c r="P63" s="231"/>
      <c r="Q63" s="144"/>
      <c r="R63" s="144"/>
      <c r="S63" s="144"/>
      <c r="T63" s="144"/>
      <c r="U63" s="144"/>
      <c r="V63" s="144"/>
      <c r="W63" s="230"/>
    </row>
    <row r="64" spans="1:24" s="172" customFormat="1" ht="17.25" customHeight="1" x14ac:dyDescent="0.15">
      <c r="A64" s="220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231"/>
      <c r="Q64" s="144"/>
      <c r="R64" s="144"/>
      <c r="S64" s="144"/>
      <c r="T64" s="144"/>
      <c r="U64" s="144"/>
      <c r="V64" s="144"/>
      <c r="W64" s="230"/>
    </row>
    <row r="65" spans="1:23" s="172" customFormat="1" ht="17.25" customHeight="1" x14ac:dyDescent="0.15">
      <c r="A65" s="220"/>
      <c r="C65" s="144" t="s">
        <v>164</v>
      </c>
      <c r="F65" s="177" t="s">
        <v>30</v>
      </c>
      <c r="G65" s="144" t="s">
        <v>391</v>
      </c>
      <c r="H65" s="144"/>
      <c r="I65" s="144"/>
      <c r="K65" s="144"/>
      <c r="L65" s="144"/>
      <c r="M65" s="144"/>
      <c r="N65" s="144"/>
      <c r="O65" s="144"/>
      <c r="P65" s="231"/>
      <c r="Q65" s="144"/>
      <c r="R65" s="144"/>
      <c r="S65" s="144"/>
      <c r="T65" s="144"/>
      <c r="U65" s="144"/>
      <c r="V65" s="144"/>
      <c r="W65" s="230"/>
    </row>
    <row r="66" spans="1:23" s="172" customFormat="1" ht="17.25" customHeight="1" x14ac:dyDescent="0.15">
      <c r="A66" s="220"/>
      <c r="B66" s="144"/>
      <c r="C66" s="144"/>
      <c r="F66" s="177" t="s">
        <v>30</v>
      </c>
      <c r="G66" s="450" t="e">
        <f>F53-F55</f>
        <v>#DIV/0!</v>
      </c>
      <c r="H66" s="450"/>
      <c r="I66" s="450"/>
      <c r="J66" s="359" t="s">
        <v>253</v>
      </c>
      <c r="K66" s="359"/>
      <c r="L66" s="144"/>
      <c r="M66" s="144"/>
      <c r="N66" s="144"/>
      <c r="O66" s="144"/>
      <c r="P66" s="231"/>
      <c r="Q66" s="144"/>
      <c r="R66" s="144"/>
      <c r="S66" s="144"/>
      <c r="T66" s="144"/>
      <c r="U66" s="144"/>
      <c r="V66" s="144"/>
      <c r="W66" s="230"/>
    </row>
    <row r="67" spans="1:23" s="172" customFormat="1" ht="17.25" customHeight="1" x14ac:dyDescent="0.15">
      <c r="A67" s="220"/>
      <c r="B67" s="144"/>
      <c r="C67" s="144"/>
      <c r="F67" s="177" t="s">
        <v>30</v>
      </c>
      <c r="G67" s="379" t="e">
        <f>ROUND(G66*60*60,3)</f>
        <v>#DIV/0!</v>
      </c>
      <c r="H67" s="379"/>
      <c r="I67" s="379"/>
      <c r="J67" s="359" t="s">
        <v>378</v>
      </c>
      <c r="K67" s="359"/>
      <c r="L67" s="144"/>
      <c r="M67" s="144"/>
      <c r="N67" s="144"/>
      <c r="O67" s="144"/>
      <c r="P67" s="231"/>
      <c r="Q67" s="144"/>
      <c r="R67" s="144"/>
      <c r="S67" s="144"/>
      <c r="T67" s="144"/>
      <c r="U67" s="144"/>
      <c r="V67" s="144"/>
      <c r="W67" s="230"/>
    </row>
    <row r="68" spans="1:23" s="172" customFormat="1" ht="17.25" customHeight="1" thickBot="1" x14ac:dyDescent="0.2">
      <c r="A68" s="221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222"/>
    </row>
    <row r="69" spans="1:23" ht="17.25" customHeight="1" thickTop="1" x14ac:dyDescent="0.15">
      <c r="A69" s="172"/>
      <c r="B69" s="172"/>
      <c r="C69" s="172"/>
      <c r="D69" s="172"/>
      <c r="E69" s="172"/>
      <c r="F69" s="172"/>
      <c r="G69" s="172"/>
      <c r="H69" s="172"/>
      <c r="I69" s="247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</row>
    <row r="70" spans="1:23" ht="17.25" customHeight="1" x14ac:dyDescent="0.15">
      <c r="A70" s="172"/>
      <c r="B70" s="172"/>
      <c r="C70" s="172"/>
      <c r="D70" s="172"/>
      <c r="E70" s="172"/>
      <c r="F70" s="172"/>
      <c r="G70" s="172"/>
      <c r="H70" s="172"/>
      <c r="I70" s="247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</row>
    <row r="71" spans="1:23" ht="17.25" customHeight="1" x14ac:dyDescent="0.15">
      <c r="A71" s="172"/>
      <c r="B71" s="172"/>
      <c r="C71" s="172"/>
      <c r="D71" s="172"/>
      <c r="E71" s="172"/>
      <c r="F71" s="172"/>
      <c r="G71" s="172"/>
      <c r="H71" s="172"/>
      <c r="I71" s="247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</row>
    <row r="72" spans="1:23" ht="17.25" customHeight="1" x14ac:dyDescent="0.15">
      <c r="A72" s="172"/>
      <c r="B72" s="172"/>
      <c r="C72" s="172"/>
      <c r="D72" s="172"/>
      <c r="E72" s="172"/>
      <c r="F72" s="172"/>
      <c r="G72" s="172"/>
      <c r="H72" s="172"/>
      <c r="I72" s="247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</row>
    <row r="73" spans="1:23" ht="17.25" customHeight="1" x14ac:dyDescent="0.15">
      <c r="A73" s="172"/>
      <c r="B73" s="172"/>
      <c r="C73" s="172"/>
      <c r="D73" s="172"/>
      <c r="E73" s="172"/>
      <c r="F73" s="172"/>
      <c r="G73" s="172"/>
      <c r="H73" s="172"/>
      <c r="I73" s="247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</row>
    <row r="74" spans="1:23" ht="17.25" customHeight="1" x14ac:dyDescent="0.1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</row>
    <row r="75" spans="1:23" ht="17.25" customHeight="1" x14ac:dyDescent="0.15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</row>
    <row r="76" spans="1:23" ht="17.25" customHeight="1" x14ac:dyDescent="0.15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</row>
    <row r="77" spans="1:23" ht="17.25" customHeight="1" x14ac:dyDescent="0.15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</row>
    <row r="78" spans="1:23" ht="17.25" customHeight="1" x14ac:dyDescent="0.1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</row>
    <row r="79" spans="1:23" ht="17.25" customHeight="1" x14ac:dyDescent="0.15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</row>
    <row r="80" spans="1:23" ht="17.25" customHeight="1" x14ac:dyDescent="0.15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</row>
    <row r="81" spans="1:23" ht="17.25" customHeight="1" x14ac:dyDescent="0.15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</row>
    <row r="82" spans="1:23" ht="17.25" customHeight="1" x14ac:dyDescent="0.15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</row>
    <row r="83" spans="1:23" ht="17.25" customHeight="1" x14ac:dyDescent="0.15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</row>
    <row r="84" spans="1:23" ht="17.25" customHeight="1" x14ac:dyDescent="0.15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</row>
    <row r="85" spans="1:23" ht="17.25" customHeight="1" x14ac:dyDescent="0.15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</row>
    <row r="86" spans="1:23" ht="17.25" customHeight="1" x14ac:dyDescent="0.15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</row>
    <row r="87" spans="1:23" ht="17.25" customHeight="1" x14ac:dyDescent="0.15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</row>
    <row r="88" spans="1:23" ht="17.25" customHeight="1" x14ac:dyDescent="0.15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</row>
    <row r="89" spans="1:23" ht="17.25" customHeight="1" x14ac:dyDescent="0.15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</row>
    <row r="90" spans="1:23" ht="17.25" customHeight="1" x14ac:dyDescent="0.15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</row>
    <row r="91" spans="1:23" ht="17.25" customHeight="1" x14ac:dyDescent="0.15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</row>
    <row r="92" spans="1:23" ht="17.25" customHeight="1" x14ac:dyDescent="0.15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</row>
    <row r="93" spans="1:23" ht="17.25" customHeight="1" x14ac:dyDescent="0.15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</row>
    <row r="94" spans="1:23" ht="17.25" customHeight="1" x14ac:dyDescent="0.15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</row>
    <row r="95" spans="1:23" ht="17.25" customHeight="1" x14ac:dyDescent="0.15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</row>
    <row r="96" spans="1:23" ht="17.25" customHeight="1" x14ac:dyDescent="0.15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</row>
    <row r="97" spans="1:23" ht="17.25" customHeight="1" x14ac:dyDescent="0.15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</row>
    <row r="98" spans="1:23" ht="17.25" customHeight="1" x14ac:dyDescent="0.15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</row>
    <row r="99" spans="1:23" ht="17.25" customHeight="1" x14ac:dyDescent="0.15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</row>
    <row r="100" spans="1:23" ht="17.25" customHeight="1" x14ac:dyDescent="0.15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</row>
    <row r="101" spans="1:23" ht="17.25" customHeight="1" x14ac:dyDescent="0.15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</row>
    <row r="102" spans="1:23" ht="17.25" customHeight="1" x14ac:dyDescent="0.15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</row>
    <row r="103" spans="1:23" ht="17.25" customHeight="1" x14ac:dyDescent="0.15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</row>
    <row r="104" spans="1:23" ht="17.25" customHeight="1" x14ac:dyDescent="0.15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</row>
    <row r="105" spans="1:23" ht="17.25" customHeight="1" x14ac:dyDescent="0.15">
      <c r="A105" s="172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</row>
    <row r="106" spans="1:23" ht="17.25" customHeight="1" x14ac:dyDescent="0.15">
      <c r="A106" s="172"/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</row>
    <row r="107" spans="1:23" ht="17.25" customHeight="1" x14ac:dyDescent="0.15">
      <c r="A107" s="172"/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</row>
    <row r="108" spans="1:23" ht="17.25" customHeight="1" x14ac:dyDescent="0.15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</row>
    <row r="109" spans="1:23" ht="17.25" customHeight="1" x14ac:dyDescent="0.15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</row>
    <row r="110" spans="1:23" ht="17.25" customHeight="1" x14ac:dyDescent="0.15">
      <c r="A110" s="172"/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</row>
    <row r="111" spans="1:23" ht="17.25" customHeight="1" x14ac:dyDescent="0.15">
      <c r="A111" s="172"/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</row>
    <row r="112" spans="1:23" ht="17.25" customHeight="1" x14ac:dyDescent="0.15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</row>
    <row r="113" spans="1:23" ht="17.25" customHeight="1" x14ac:dyDescent="0.15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</row>
    <row r="114" spans="1:23" ht="17.25" customHeight="1" x14ac:dyDescent="0.15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</row>
    <row r="115" spans="1:23" ht="17.25" customHeight="1" x14ac:dyDescent="0.15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</row>
    <row r="116" spans="1:23" ht="17.25" customHeight="1" x14ac:dyDescent="0.15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</row>
    <row r="117" spans="1:23" ht="17.25" customHeight="1" x14ac:dyDescent="0.15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</row>
    <row r="118" spans="1:23" ht="17.25" customHeight="1" x14ac:dyDescent="0.15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</row>
    <row r="119" spans="1:23" ht="17.25" customHeight="1" x14ac:dyDescent="0.15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</row>
    <row r="120" spans="1:23" ht="17.25" customHeight="1" x14ac:dyDescent="0.15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</row>
    <row r="121" spans="1:23" ht="17.25" customHeight="1" x14ac:dyDescent="0.15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</row>
    <row r="122" spans="1:23" ht="17.25" customHeight="1" x14ac:dyDescent="0.15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</row>
    <row r="123" spans="1:23" ht="17.25" customHeight="1" x14ac:dyDescent="0.15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</row>
    <row r="124" spans="1:23" ht="17.25" customHeight="1" x14ac:dyDescent="0.15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</row>
  </sheetData>
  <mergeCells count="71">
    <mergeCell ref="V30:W30"/>
    <mergeCell ref="U33:V33"/>
    <mergeCell ref="U29:V29"/>
    <mergeCell ref="Q33:T33"/>
    <mergeCell ref="F47:H47"/>
    <mergeCell ref="Q41:T41"/>
    <mergeCell ref="M62:N62"/>
    <mergeCell ref="B61:C61"/>
    <mergeCell ref="I55:J55"/>
    <mergeCell ref="F28:H28"/>
    <mergeCell ref="I28:J28"/>
    <mergeCell ref="F44:H44"/>
    <mergeCell ref="I44:J44"/>
    <mergeCell ref="I47:J47"/>
    <mergeCell ref="M49:R49"/>
    <mergeCell ref="S59:T59"/>
    <mergeCell ref="D61:L61"/>
    <mergeCell ref="M61:N61"/>
    <mergeCell ref="F55:H55"/>
    <mergeCell ref="O61:W61"/>
    <mergeCell ref="U49:W49"/>
    <mergeCell ref="Q26:T26"/>
    <mergeCell ref="Q32:T32"/>
    <mergeCell ref="U32:V32"/>
    <mergeCell ref="A5:W5"/>
    <mergeCell ref="P22:W22"/>
    <mergeCell ref="Q28:T28"/>
    <mergeCell ref="U28:V28"/>
    <mergeCell ref="U26:V26"/>
    <mergeCell ref="A21:G21"/>
    <mergeCell ref="Q24:T24"/>
    <mergeCell ref="F24:H24"/>
    <mergeCell ref="Q29:T29"/>
    <mergeCell ref="U24:V24"/>
    <mergeCell ref="Q25:T25"/>
    <mergeCell ref="U25:V25"/>
    <mergeCell ref="I24:J24"/>
    <mergeCell ref="G67:I67"/>
    <mergeCell ref="J67:K67"/>
    <mergeCell ref="B55:D55"/>
    <mergeCell ref="A49:L49"/>
    <mergeCell ref="B53:D53"/>
    <mergeCell ref="B54:D54"/>
    <mergeCell ref="F53:H53"/>
    <mergeCell ref="B62:C62"/>
    <mergeCell ref="B63:L63"/>
    <mergeCell ref="I53:J53"/>
    <mergeCell ref="G66:I66"/>
    <mergeCell ref="J66:K66"/>
    <mergeCell ref="A1:L1"/>
    <mergeCell ref="M1:R1"/>
    <mergeCell ref="U1:W1"/>
    <mergeCell ref="A3:W3"/>
    <mergeCell ref="A4:W4"/>
    <mergeCell ref="F40:H40"/>
    <mergeCell ref="U41:V41"/>
    <mergeCell ref="I40:J40"/>
    <mergeCell ref="Q40:T40"/>
    <mergeCell ref="F32:H32"/>
    <mergeCell ref="I32:J32"/>
    <mergeCell ref="F36:H36"/>
    <mergeCell ref="I36:J36"/>
    <mergeCell ref="Q45:T45"/>
    <mergeCell ref="U40:V40"/>
    <mergeCell ref="Q36:T36"/>
    <mergeCell ref="U36:V36"/>
    <mergeCell ref="Q37:T37"/>
    <mergeCell ref="U37:V37"/>
    <mergeCell ref="U44:V44"/>
    <mergeCell ref="U45:V45"/>
    <mergeCell ref="Q44:T44"/>
  </mergeCells>
  <phoneticPr fontId="2"/>
  <printOptions horizontalCentered="1"/>
  <pageMargins left="0.55118110236220474" right="0.31496062992125984" top="0.47244094488188981" bottom="0.43307086614173229" header="0.27559055118110237" footer="0.35433070866141736"/>
  <pageSetup paperSize="9" firstPageNumber="15" fitToWidth="0" orientation="portrait" r:id="rId1"/>
  <headerFooter alignWithMargins="0"/>
  <rowBreaks count="1" manualBreakCount="1">
    <brk id="4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6"/>
  <sheetViews>
    <sheetView view="pageBreakPreview" zoomScaleNormal="50" workbookViewId="0">
      <selection activeCell="T12" sqref="T12"/>
    </sheetView>
  </sheetViews>
  <sheetFormatPr defaultRowHeight="17.25" customHeight="1" x14ac:dyDescent="0.15"/>
  <cols>
    <col min="1" max="1" width="3.875" style="12" customWidth="1"/>
    <col min="2" max="23" width="3.875" style="172" customWidth="1"/>
    <col min="24" max="24" width="4" style="172" customWidth="1"/>
    <col min="25" max="25" width="9" style="172"/>
    <col min="26" max="29" width="8.125" style="172" customWidth="1"/>
    <col min="30" max="16384" width="9" style="172"/>
  </cols>
  <sheetData>
    <row r="1" spans="1:25" s="12" customFormat="1" ht="21" customHeight="1" x14ac:dyDescent="0.15">
      <c r="A1" s="384" t="s">
        <v>122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 t="s">
        <v>322</v>
      </c>
      <c r="N1" s="386"/>
      <c r="O1" s="386"/>
      <c r="P1" s="386"/>
      <c r="Q1" s="386"/>
      <c r="R1" s="387"/>
      <c r="S1" s="170"/>
      <c r="T1" s="170"/>
      <c r="U1" s="382" t="s">
        <v>390</v>
      </c>
      <c r="V1" s="382"/>
      <c r="W1" s="382"/>
      <c r="X1" s="382"/>
    </row>
    <row r="2" spans="1:25" ht="17.25" customHeight="1" x14ac:dyDescent="0.15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25" ht="17.25" customHeight="1" x14ac:dyDescent="0.15">
      <c r="A3" s="360" t="s">
        <v>223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171"/>
    </row>
    <row r="4" spans="1:25" ht="17.2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1"/>
      <c r="Y4" s="171"/>
    </row>
    <row r="5" spans="1:25" ht="17.25" customHeight="1" x14ac:dyDescent="0.15">
      <c r="A5" s="3" t="s">
        <v>291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8"/>
      <c r="S5" s="188"/>
      <c r="T5" s="188"/>
      <c r="U5" s="188"/>
      <c r="V5" s="188"/>
      <c r="W5" s="188"/>
      <c r="X5" s="188"/>
    </row>
    <row r="6" spans="1:25" ht="17.25" customHeight="1" x14ac:dyDescent="0.15">
      <c r="B6" s="172" t="s">
        <v>420</v>
      </c>
    </row>
    <row r="7" spans="1:25" ht="17.25" customHeight="1" x14ac:dyDescent="0.15">
      <c r="B7" s="172" t="s">
        <v>430</v>
      </c>
    </row>
    <row r="8" spans="1:25" ht="14.25" customHeight="1" x14ac:dyDescent="0.15">
      <c r="B8" s="166" t="s">
        <v>180</v>
      </c>
      <c r="C8" s="167"/>
      <c r="D8" s="167" t="s">
        <v>320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91"/>
    </row>
    <row r="9" spans="1:25" ht="14.25" customHeight="1" x14ac:dyDescent="0.15">
      <c r="B9" s="192"/>
      <c r="C9" s="168" t="s">
        <v>425</v>
      </c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93"/>
    </row>
    <row r="10" spans="1:25" ht="14.25" customHeight="1" x14ac:dyDescent="0.15">
      <c r="B10" s="192"/>
      <c r="C10" s="168" t="s">
        <v>426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93"/>
    </row>
    <row r="11" spans="1:25" ht="14.25" customHeight="1" x14ac:dyDescent="0.15">
      <c r="B11" s="194"/>
      <c r="C11" s="169"/>
      <c r="D11" s="169" t="s">
        <v>349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95"/>
    </row>
    <row r="12" spans="1:25" ht="19.5" customHeight="1" x14ac:dyDescent="0.15"/>
    <row r="13" spans="1:25" ht="19.5" customHeight="1" x14ac:dyDescent="0.15"/>
    <row r="14" spans="1:25" ht="17.25" customHeight="1" x14ac:dyDescent="0.15">
      <c r="A14" s="12" t="s">
        <v>393</v>
      </c>
    </row>
    <row r="15" spans="1:25" ht="17.25" customHeight="1" thickBot="1" x14ac:dyDescent="0.2">
      <c r="A15" s="464" t="s">
        <v>184</v>
      </c>
      <c r="B15" s="464"/>
      <c r="C15" s="464"/>
      <c r="D15" s="464"/>
      <c r="E15" s="464"/>
      <c r="F15" s="464"/>
      <c r="G15" s="464"/>
      <c r="H15" s="427" t="s">
        <v>188</v>
      </c>
      <c r="I15" s="427"/>
      <c r="J15" s="428"/>
      <c r="K15" s="426" t="s">
        <v>186</v>
      </c>
      <c r="L15" s="427"/>
      <c r="M15" s="428"/>
      <c r="N15" s="429" t="s">
        <v>187</v>
      </c>
      <c r="O15" s="430"/>
      <c r="P15" s="428"/>
      <c r="Q15" s="429" t="s">
        <v>183</v>
      </c>
      <c r="R15" s="430"/>
      <c r="S15" s="430"/>
      <c r="T15" s="428"/>
      <c r="U15" s="429" t="s">
        <v>189</v>
      </c>
      <c r="V15" s="430"/>
      <c r="W15" s="430"/>
      <c r="X15" s="428"/>
    </row>
    <row r="16" spans="1:25" ht="17.25" customHeight="1" thickBot="1" x14ac:dyDescent="0.2">
      <c r="A16" s="465" t="s">
        <v>181</v>
      </c>
      <c r="B16" s="466"/>
      <c r="C16" s="466"/>
      <c r="D16" s="466"/>
      <c r="E16" s="466"/>
      <c r="F16" s="466"/>
      <c r="G16" s="466"/>
      <c r="H16" s="521"/>
      <c r="I16" s="522"/>
      <c r="J16" s="196" t="s">
        <v>350</v>
      </c>
      <c r="K16" s="515"/>
      <c r="L16" s="516"/>
      <c r="M16" s="197" t="s">
        <v>351</v>
      </c>
      <c r="N16" s="441" t="s">
        <v>352</v>
      </c>
      <c r="O16" s="442"/>
      <c r="P16" s="443"/>
      <c r="Q16" s="411">
        <f>G61</f>
        <v>0</v>
      </c>
      <c r="R16" s="412"/>
      <c r="S16" s="413" t="s">
        <v>353</v>
      </c>
      <c r="T16" s="414"/>
      <c r="U16" s="411">
        <f>G64</f>
        <v>0</v>
      </c>
      <c r="V16" s="412"/>
      <c r="W16" s="413" t="s">
        <v>354</v>
      </c>
      <c r="X16" s="414"/>
    </row>
    <row r="17" spans="1:29" ht="17.25" customHeight="1" x14ac:dyDescent="0.15">
      <c r="A17" s="467" t="s">
        <v>410</v>
      </c>
      <c r="B17" s="415"/>
      <c r="C17" s="415"/>
      <c r="D17" s="415"/>
      <c r="E17" s="415"/>
      <c r="F17" s="415"/>
      <c r="G17" s="415"/>
      <c r="H17" s="523"/>
      <c r="I17" s="524"/>
      <c r="J17" s="198" t="s">
        <v>238</v>
      </c>
      <c r="K17" s="499"/>
      <c r="L17" s="500"/>
      <c r="M17" s="198" t="s">
        <v>238</v>
      </c>
      <c r="N17" s="521"/>
      <c r="O17" s="522"/>
      <c r="P17" s="199" t="s">
        <v>238</v>
      </c>
      <c r="Q17" s="406">
        <f>G104</f>
        <v>0</v>
      </c>
      <c r="R17" s="407"/>
      <c r="S17" s="415" t="s">
        <v>268</v>
      </c>
      <c r="T17" s="416"/>
      <c r="U17" s="406">
        <f>G107</f>
        <v>0</v>
      </c>
      <c r="V17" s="407"/>
      <c r="W17" s="415" t="s">
        <v>269</v>
      </c>
      <c r="X17" s="416"/>
    </row>
    <row r="18" spans="1:29" ht="17.25" customHeight="1" x14ac:dyDescent="0.15">
      <c r="A18" s="462" t="s">
        <v>411</v>
      </c>
      <c r="B18" s="463"/>
      <c r="C18" s="463"/>
      <c r="D18" s="463"/>
      <c r="E18" s="468" t="s">
        <v>355</v>
      </c>
      <c r="F18" s="468"/>
      <c r="G18" s="468"/>
      <c r="H18" s="519"/>
      <c r="I18" s="520"/>
      <c r="J18" s="198" t="s">
        <v>182</v>
      </c>
      <c r="K18" s="499"/>
      <c r="L18" s="500"/>
      <c r="M18" s="198" t="s">
        <v>238</v>
      </c>
      <c r="N18" s="523"/>
      <c r="O18" s="524"/>
      <c r="P18" s="199" t="s">
        <v>238</v>
      </c>
      <c r="Q18" s="406">
        <f>G149</f>
        <v>0</v>
      </c>
      <c r="R18" s="407"/>
      <c r="S18" s="415" t="s">
        <v>268</v>
      </c>
      <c r="T18" s="416"/>
      <c r="U18" s="406">
        <f>G152</f>
        <v>0</v>
      </c>
      <c r="V18" s="407"/>
      <c r="W18" s="415" t="s">
        <v>269</v>
      </c>
      <c r="X18" s="416"/>
    </row>
    <row r="19" spans="1:29" ht="17.25" customHeight="1" thickBot="1" x14ac:dyDescent="0.2">
      <c r="A19" s="462" t="s">
        <v>412</v>
      </c>
      <c r="B19" s="463"/>
      <c r="C19" s="463"/>
      <c r="D19" s="463"/>
      <c r="E19" s="468" t="s">
        <v>356</v>
      </c>
      <c r="F19" s="468"/>
      <c r="G19" s="468"/>
      <c r="H19" s="519"/>
      <c r="I19" s="520"/>
      <c r="J19" s="198" t="s">
        <v>182</v>
      </c>
      <c r="K19" s="501"/>
      <c r="L19" s="502"/>
      <c r="M19" s="198" t="s">
        <v>238</v>
      </c>
      <c r="N19" s="525"/>
      <c r="O19" s="526"/>
      <c r="P19" s="199" t="s">
        <v>238</v>
      </c>
      <c r="Q19" s="406">
        <f>G188</f>
        <v>0</v>
      </c>
      <c r="R19" s="407"/>
      <c r="S19" s="415" t="s">
        <v>268</v>
      </c>
      <c r="T19" s="416"/>
      <c r="U19" s="406">
        <f>G191</f>
        <v>0</v>
      </c>
      <c r="V19" s="407"/>
      <c r="W19" s="415" t="s">
        <v>269</v>
      </c>
      <c r="X19" s="416"/>
    </row>
    <row r="20" spans="1:29" ht="17.25" customHeight="1" x14ac:dyDescent="0.15">
      <c r="A20" s="467" t="s">
        <v>307</v>
      </c>
      <c r="B20" s="415"/>
      <c r="C20" s="415"/>
      <c r="D20" s="415"/>
      <c r="E20" s="415"/>
      <c r="F20" s="415"/>
      <c r="G20" s="415"/>
      <c r="H20" s="509"/>
      <c r="I20" s="510"/>
      <c r="J20" s="250"/>
      <c r="K20" s="202"/>
      <c r="L20" s="202"/>
      <c r="M20" s="203"/>
      <c r="N20" s="204"/>
      <c r="O20" s="202"/>
      <c r="P20" s="201"/>
      <c r="Q20" s="503"/>
      <c r="R20" s="504"/>
      <c r="S20" s="415" t="s">
        <v>357</v>
      </c>
      <c r="T20" s="415"/>
      <c r="U20" s="503"/>
      <c r="V20" s="504"/>
      <c r="W20" s="415" t="s">
        <v>358</v>
      </c>
      <c r="X20" s="416"/>
    </row>
    <row r="21" spans="1:29" ht="17.25" customHeight="1" x14ac:dyDescent="0.15">
      <c r="A21" s="467" t="s">
        <v>307</v>
      </c>
      <c r="B21" s="415"/>
      <c r="C21" s="415"/>
      <c r="D21" s="415"/>
      <c r="E21" s="415"/>
      <c r="F21" s="415"/>
      <c r="G21" s="415"/>
      <c r="H21" s="509"/>
      <c r="I21" s="510"/>
      <c r="J21" s="251"/>
      <c r="K21" s="201"/>
      <c r="L21" s="201"/>
      <c r="M21" s="203"/>
      <c r="N21" s="200"/>
      <c r="O21" s="201"/>
      <c r="P21" s="201"/>
      <c r="Q21" s="505"/>
      <c r="R21" s="506"/>
      <c r="S21" s="415" t="s">
        <v>357</v>
      </c>
      <c r="T21" s="415"/>
      <c r="U21" s="505"/>
      <c r="V21" s="506"/>
      <c r="W21" s="415" t="s">
        <v>358</v>
      </c>
      <c r="X21" s="416"/>
    </row>
    <row r="22" spans="1:29" ht="17.25" customHeight="1" thickBot="1" x14ac:dyDescent="0.2">
      <c r="A22" s="470" t="s">
        <v>307</v>
      </c>
      <c r="B22" s="471"/>
      <c r="C22" s="471"/>
      <c r="D22" s="471"/>
      <c r="E22" s="471"/>
      <c r="F22" s="471"/>
      <c r="G22" s="471"/>
      <c r="H22" s="511"/>
      <c r="I22" s="512"/>
      <c r="J22" s="252"/>
      <c r="K22" s="205"/>
      <c r="L22" s="205"/>
      <c r="M22" s="206"/>
      <c r="N22" s="207"/>
      <c r="O22" s="205"/>
      <c r="P22" s="205"/>
      <c r="Q22" s="507"/>
      <c r="R22" s="508"/>
      <c r="S22" s="421" t="s">
        <v>357</v>
      </c>
      <c r="T22" s="421"/>
      <c r="U22" s="507"/>
      <c r="V22" s="508"/>
      <c r="W22" s="421" t="s">
        <v>358</v>
      </c>
      <c r="X22" s="425"/>
    </row>
    <row r="23" spans="1:29" ht="17.25" customHeight="1" x14ac:dyDescent="0.15">
      <c r="A23" s="429" t="s">
        <v>5</v>
      </c>
      <c r="B23" s="430"/>
      <c r="C23" s="430"/>
      <c r="D23" s="430"/>
      <c r="E23" s="430"/>
      <c r="F23" s="430"/>
      <c r="G23" s="430"/>
      <c r="H23" s="469"/>
      <c r="I23" s="469"/>
      <c r="J23" s="469"/>
      <c r="K23" s="430"/>
      <c r="L23" s="430"/>
      <c r="M23" s="430"/>
      <c r="N23" s="430"/>
      <c r="O23" s="430"/>
      <c r="P23" s="428"/>
      <c r="Q23" s="455">
        <f>SUM(Q16:R17,Q18:R22)</f>
        <v>0</v>
      </c>
      <c r="R23" s="456"/>
      <c r="S23" s="390" t="s">
        <v>359</v>
      </c>
      <c r="T23" s="391"/>
      <c r="U23" s="453">
        <f>SUM(U16:V17,U18:V22)</f>
        <v>0</v>
      </c>
      <c r="V23" s="454"/>
      <c r="W23" s="390" t="s">
        <v>360</v>
      </c>
      <c r="X23" s="391"/>
    </row>
    <row r="24" spans="1:29" s="168" customFormat="1" ht="4.5" customHeight="1" thickBot="1" x14ac:dyDescent="0.2">
      <c r="A24" s="15"/>
      <c r="B24" s="208"/>
      <c r="C24" s="208"/>
      <c r="D24" s="208"/>
      <c r="E24" s="208"/>
      <c r="F24" s="208"/>
      <c r="G24" s="208"/>
      <c r="H24" s="209"/>
      <c r="I24" s="209"/>
      <c r="J24" s="208"/>
      <c r="K24" s="210"/>
      <c r="L24" s="210"/>
      <c r="M24" s="208"/>
      <c r="N24" s="210"/>
      <c r="O24" s="210"/>
      <c r="P24" s="208"/>
      <c r="Q24" s="211"/>
      <c r="R24" s="211"/>
      <c r="S24" s="208"/>
      <c r="T24" s="208"/>
      <c r="U24" s="211"/>
      <c r="V24" s="211"/>
      <c r="W24" s="208"/>
      <c r="X24" s="208"/>
      <c r="Y24" s="208"/>
    </row>
    <row r="25" spans="1:29" s="168" customFormat="1" ht="17.25" customHeight="1" thickBot="1" x14ac:dyDescent="0.2">
      <c r="A25" s="15"/>
      <c r="C25" s="459" t="s">
        <v>293</v>
      </c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517"/>
      <c r="O25" s="518"/>
      <c r="P25" s="210" t="s">
        <v>361</v>
      </c>
      <c r="Q25" s="211"/>
      <c r="R25" s="211"/>
      <c r="S25" s="208"/>
      <c r="T25" s="208"/>
      <c r="U25" s="211"/>
      <c r="V25" s="211"/>
      <c r="W25" s="208"/>
    </row>
    <row r="26" spans="1:29" s="168" customFormat="1" ht="17.25" customHeight="1" thickBot="1" x14ac:dyDescent="0.2">
      <c r="A26" s="15"/>
      <c r="C26" s="459" t="s">
        <v>309</v>
      </c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77" t="s">
        <v>310</v>
      </c>
      <c r="O26" s="477"/>
      <c r="P26" s="497"/>
      <c r="Q26" s="498"/>
      <c r="R26" s="210" t="s">
        <v>362</v>
      </c>
      <c r="S26" s="481" t="s">
        <v>311</v>
      </c>
      <c r="T26" s="481"/>
      <c r="U26" s="497"/>
      <c r="V26" s="498"/>
      <c r="W26" s="210" t="s">
        <v>362</v>
      </c>
    </row>
    <row r="27" spans="1:29" s="168" customFormat="1" ht="17.25" customHeight="1" thickBot="1" x14ac:dyDescent="0.2">
      <c r="A27" s="15"/>
      <c r="C27" s="459" t="s">
        <v>392</v>
      </c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78" t="s">
        <v>310</v>
      </c>
      <c r="O27" s="478"/>
      <c r="P27" s="497"/>
      <c r="Q27" s="498"/>
      <c r="R27" s="210" t="s">
        <v>362</v>
      </c>
      <c r="S27" s="481" t="s">
        <v>311</v>
      </c>
      <c r="T27" s="481"/>
      <c r="U27" s="497"/>
      <c r="V27" s="498"/>
      <c r="W27" s="210" t="s">
        <v>362</v>
      </c>
    </row>
    <row r="28" spans="1:29" ht="17.25" customHeight="1" x14ac:dyDescent="0.15">
      <c r="B28" s="168"/>
      <c r="C28" s="168" t="s">
        <v>308</v>
      </c>
      <c r="D28" s="168"/>
      <c r="E28" s="168"/>
      <c r="F28" s="168"/>
      <c r="G28" s="168"/>
      <c r="H28" s="181"/>
      <c r="I28" s="181"/>
      <c r="J28" s="181"/>
      <c r="K28" s="181"/>
      <c r="L28" s="181"/>
      <c r="M28" s="181"/>
      <c r="N28" s="208"/>
      <c r="O28" s="208"/>
      <c r="P28" s="208"/>
      <c r="Q28" s="211"/>
      <c r="R28" s="211"/>
      <c r="S28" s="208"/>
      <c r="T28" s="208"/>
      <c r="U28" s="211"/>
      <c r="V28" s="211"/>
      <c r="W28" s="208"/>
      <c r="X28" s="208"/>
      <c r="AC28" s="168"/>
    </row>
    <row r="29" spans="1:29" ht="18" customHeight="1" x14ac:dyDescent="0.15">
      <c r="B29" s="168"/>
      <c r="C29" s="168"/>
      <c r="D29" s="168"/>
      <c r="E29" s="168"/>
      <c r="F29" s="168"/>
      <c r="G29" s="168"/>
      <c r="H29" s="181"/>
      <c r="I29" s="181"/>
      <c r="J29" s="181"/>
      <c r="K29" s="181"/>
      <c r="L29" s="181"/>
      <c r="M29" s="181"/>
      <c r="N29" s="208"/>
      <c r="O29" s="208"/>
      <c r="P29" s="208"/>
      <c r="Q29" s="211"/>
      <c r="R29" s="211"/>
      <c r="S29" s="208"/>
      <c r="T29" s="208"/>
      <c r="U29" s="211"/>
      <c r="V29" s="211"/>
      <c r="W29" s="208"/>
      <c r="X29" s="208"/>
      <c r="AC29" s="168"/>
    </row>
    <row r="30" spans="1:29" ht="18" customHeight="1" x14ac:dyDescent="0.15">
      <c r="A30" s="3" t="s">
        <v>292</v>
      </c>
      <c r="B30" s="168"/>
      <c r="C30" s="168"/>
      <c r="D30" s="168"/>
      <c r="E30" s="168"/>
      <c r="F30" s="168"/>
      <c r="G30" s="168"/>
      <c r="H30" s="181"/>
      <c r="I30" s="181"/>
      <c r="J30" s="181"/>
      <c r="K30" s="181"/>
      <c r="L30" s="181"/>
      <c r="M30" s="181"/>
      <c r="N30" s="208"/>
      <c r="O30" s="208"/>
      <c r="P30" s="208"/>
      <c r="Q30" s="211"/>
      <c r="R30" s="211"/>
      <c r="S30" s="208"/>
      <c r="T30" s="208"/>
      <c r="U30" s="211"/>
      <c r="V30" s="211"/>
      <c r="W30" s="208"/>
      <c r="X30" s="208"/>
    </row>
    <row r="31" spans="1:29" ht="18" customHeight="1" x14ac:dyDescent="0.15">
      <c r="B31" s="188" t="s">
        <v>294</v>
      </c>
      <c r="D31" s="213"/>
      <c r="M31" s="212" t="s">
        <v>192</v>
      </c>
      <c r="N31" s="213" t="s">
        <v>166</v>
      </c>
      <c r="O31" s="172" t="s">
        <v>6</v>
      </c>
    </row>
    <row r="32" spans="1:29" ht="18" customHeight="1" x14ac:dyDescent="0.15">
      <c r="D32" s="180" t="s">
        <v>210</v>
      </c>
      <c r="E32" s="450" t="e">
        <f>'２判定（調整区域）'!G67</f>
        <v>#DIV/0!</v>
      </c>
      <c r="F32" s="450"/>
      <c r="G32" s="450"/>
      <c r="H32" s="359" t="s">
        <v>363</v>
      </c>
      <c r="I32" s="359"/>
      <c r="J32" s="185" t="s">
        <v>364</v>
      </c>
      <c r="K32" s="185"/>
      <c r="N32" s="213" t="s">
        <v>210</v>
      </c>
      <c r="O32" s="401">
        <f>Q23+U23</f>
        <v>0</v>
      </c>
      <c r="P32" s="401"/>
      <c r="Q32" s="401"/>
      <c r="R32" s="359" t="s">
        <v>363</v>
      </c>
      <c r="S32" s="359"/>
      <c r="U32" s="188" t="s">
        <v>365</v>
      </c>
    </row>
    <row r="33" spans="1:24" ht="18" customHeight="1" thickBot="1" x14ac:dyDescent="0.2">
      <c r="F33" s="213"/>
      <c r="G33" s="213"/>
      <c r="H33" s="213"/>
      <c r="I33" s="213"/>
      <c r="J33" s="213"/>
      <c r="K33" s="176"/>
      <c r="M33" s="188"/>
    </row>
    <row r="34" spans="1:24" ht="18" customHeight="1" thickTop="1" x14ac:dyDescent="0.15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</row>
    <row r="35" spans="1:24" ht="18" customHeight="1" x14ac:dyDescent="0.15">
      <c r="A35" s="236"/>
      <c r="B35" s="151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144"/>
      <c r="N35" s="144"/>
      <c r="O35" s="144"/>
      <c r="P35" s="163" t="s">
        <v>160</v>
      </c>
      <c r="Q35" s="163"/>
      <c r="R35" s="163"/>
      <c r="S35" s="381" t="e">
        <f>IF(E32&gt;O32,"①＞②","①＜②")</f>
        <v>#DIV/0!</v>
      </c>
      <c r="T35" s="381"/>
      <c r="U35" s="144"/>
      <c r="V35" s="144"/>
      <c r="W35" s="144"/>
      <c r="X35" s="148"/>
    </row>
    <row r="36" spans="1:24" ht="9.75" customHeight="1" thickBot="1" x14ac:dyDescent="0.2">
      <c r="A36" s="236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144"/>
      <c r="N36" s="144"/>
      <c r="O36" s="144"/>
      <c r="P36" s="144"/>
      <c r="Q36" s="60"/>
      <c r="R36" s="60"/>
      <c r="S36" s="60"/>
      <c r="T36" s="60"/>
      <c r="U36" s="60"/>
      <c r="V36" s="60"/>
      <c r="W36" s="60"/>
      <c r="X36" s="148"/>
    </row>
    <row r="37" spans="1:24" ht="27.75" customHeight="1" thickBot="1" x14ac:dyDescent="0.2">
      <c r="A37" s="237"/>
      <c r="B37" s="491" t="str">
        <f>IFERROR(IF(E32&gt;O32,"○",""),"")</f>
        <v/>
      </c>
      <c r="C37" s="492"/>
      <c r="D37" s="422" t="s">
        <v>289</v>
      </c>
      <c r="E37" s="423"/>
      <c r="F37" s="423"/>
      <c r="G37" s="423"/>
      <c r="H37" s="423"/>
      <c r="I37" s="423"/>
      <c r="J37" s="423"/>
      <c r="K37" s="423"/>
      <c r="L37" s="448"/>
      <c r="M37" s="491" t="str">
        <f>IFERROR(IF(E32&lt;O32,"○",""),"")</f>
        <v/>
      </c>
      <c r="N37" s="492"/>
      <c r="O37" s="422" t="s">
        <v>290</v>
      </c>
      <c r="P37" s="423"/>
      <c r="Q37" s="423"/>
      <c r="R37" s="423"/>
      <c r="S37" s="423"/>
      <c r="T37" s="423"/>
      <c r="U37" s="423"/>
      <c r="V37" s="423"/>
      <c r="W37" s="423"/>
      <c r="X37" s="424"/>
    </row>
    <row r="38" spans="1:24" ht="20.25" customHeight="1" x14ac:dyDescent="0.15">
      <c r="A38" s="237"/>
      <c r="B38" s="370" t="s">
        <v>366</v>
      </c>
      <c r="C38" s="370"/>
      <c r="D38" s="60"/>
      <c r="E38" s="60"/>
      <c r="F38" s="60"/>
      <c r="G38" s="60"/>
      <c r="H38" s="60"/>
      <c r="I38" s="60"/>
      <c r="J38" s="60"/>
      <c r="K38" s="60"/>
      <c r="L38" s="60"/>
      <c r="M38" s="370" t="s">
        <v>366</v>
      </c>
      <c r="N38" s="370"/>
      <c r="O38" s="60"/>
      <c r="P38" s="60"/>
      <c r="Q38" s="144"/>
      <c r="R38" s="144"/>
      <c r="S38" s="144"/>
      <c r="T38" s="144"/>
      <c r="U38" s="231"/>
      <c r="V38" s="231"/>
      <c r="W38" s="231"/>
      <c r="X38" s="148"/>
    </row>
    <row r="39" spans="1:24" ht="17.25" customHeight="1" x14ac:dyDescent="0.15">
      <c r="A39" s="237"/>
      <c r="B39" s="371" t="s">
        <v>190</v>
      </c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144" t="s">
        <v>171</v>
      </c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8"/>
    </row>
    <row r="40" spans="1:24" ht="17.25" customHeight="1" x14ac:dyDescent="0.15">
      <c r="A40" s="238"/>
      <c r="B40" s="60" t="s">
        <v>191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148"/>
    </row>
    <row r="41" spans="1:24" ht="17.25" customHeight="1" thickBot="1" x14ac:dyDescent="0.2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149"/>
    </row>
    <row r="42" spans="1:24" ht="8.25" customHeight="1" thickTop="1" x14ac:dyDescent="0.15">
      <c r="A42" s="79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spans="1:24" s="12" customFormat="1" ht="21" customHeight="1" x14ac:dyDescent="0.15">
      <c r="A43" s="384" t="s">
        <v>122</v>
      </c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5" t="s">
        <v>322</v>
      </c>
      <c r="N43" s="386"/>
      <c r="O43" s="386"/>
      <c r="P43" s="386"/>
      <c r="Q43" s="386"/>
      <c r="R43" s="387"/>
      <c r="S43" s="170"/>
      <c r="T43" s="170"/>
      <c r="U43" s="382"/>
      <c r="V43" s="382"/>
      <c r="W43" s="382"/>
      <c r="X43" s="382"/>
    </row>
    <row r="44" spans="1:24" ht="20.25" customHeight="1" x14ac:dyDescent="0.15"/>
    <row r="45" spans="1:24" ht="20.25" customHeight="1" x14ac:dyDescent="0.15">
      <c r="A45" s="12" t="s">
        <v>413</v>
      </c>
      <c r="G45" s="12" t="s">
        <v>195</v>
      </c>
    </row>
    <row r="46" spans="1:24" ht="20.25" customHeight="1" x14ac:dyDescent="0.15">
      <c r="Q46" s="363" t="s">
        <v>295</v>
      </c>
      <c r="R46" s="364"/>
      <c r="S46" s="364"/>
      <c r="T46" s="364"/>
      <c r="U46" s="364"/>
      <c r="V46" s="364"/>
      <c r="W46" s="364"/>
      <c r="X46" s="365"/>
    </row>
    <row r="47" spans="1:24" ht="20.25" customHeight="1" x14ac:dyDescent="0.15">
      <c r="P47" s="168"/>
      <c r="Q47" s="226"/>
      <c r="R47" s="168"/>
      <c r="S47" s="168"/>
      <c r="T47" s="168"/>
      <c r="U47" s="168"/>
      <c r="V47" s="168"/>
      <c r="W47" s="168"/>
      <c r="X47" s="241"/>
    </row>
    <row r="48" spans="1:24" ht="20.25" customHeight="1" x14ac:dyDescent="0.15">
      <c r="B48" s="178" t="s">
        <v>196</v>
      </c>
      <c r="C48" s="178"/>
      <c r="D48" s="178"/>
      <c r="F48" s="177" t="s">
        <v>367</v>
      </c>
      <c r="G48" s="178" t="s">
        <v>197</v>
      </c>
      <c r="H48" s="178"/>
      <c r="I48" s="178"/>
      <c r="J48" s="178"/>
      <c r="Q48" s="226"/>
      <c r="R48" s="168"/>
      <c r="S48" s="168"/>
      <c r="T48" s="168"/>
      <c r="U48" s="168"/>
      <c r="V48" s="168"/>
      <c r="W48" s="168"/>
      <c r="X48" s="241"/>
    </row>
    <row r="49" spans="2:24" ht="20.25" customHeight="1" thickBot="1" x14ac:dyDescent="0.2">
      <c r="B49" s="178"/>
      <c r="C49" s="178"/>
      <c r="D49" s="178"/>
      <c r="F49" s="180" t="s">
        <v>368</v>
      </c>
      <c r="G49" s="403">
        <f>ROUND(U50*H55*3600/100,3)</f>
        <v>0.23200000000000001</v>
      </c>
      <c r="H49" s="403"/>
      <c r="I49" s="178"/>
      <c r="J49" s="178"/>
      <c r="Q49" s="226" t="s">
        <v>369</v>
      </c>
      <c r="R49" s="168"/>
      <c r="S49" s="168"/>
      <c r="T49" s="168"/>
      <c r="U49" s="168"/>
      <c r="V49" s="168"/>
      <c r="W49" s="168"/>
      <c r="X49" s="241"/>
    </row>
    <row r="50" spans="2:24" ht="20.25" customHeight="1" thickBot="1" x14ac:dyDescent="0.2">
      <c r="P50" s="168"/>
      <c r="Q50" s="226"/>
      <c r="R50" s="168"/>
      <c r="S50" s="168"/>
      <c r="T50" s="168"/>
      <c r="U50" s="495">
        <v>5.0000000000000001E-3</v>
      </c>
      <c r="V50" s="496"/>
      <c r="W50" s="168" t="s">
        <v>370</v>
      </c>
      <c r="X50" s="241"/>
    </row>
    <row r="51" spans="2:24" ht="20.25" customHeight="1" x14ac:dyDescent="0.15">
      <c r="G51" s="177"/>
      <c r="P51" s="168"/>
      <c r="Q51" s="397" t="s">
        <v>297</v>
      </c>
      <c r="R51" s="380"/>
      <c r="S51" s="380"/>
      <c r="T51" s="380"/>
      <c r="U51" s="380"/>
      <c r="V51" s="380"/>
      <c r="W51" s="380"/>
      <c r="X51" s="404"/>
    </row>
    <row r="52" spans="2:24" ht="20.25" customHeight="1" x14ac:dyDescent="0.15">
      <c r="G52" s="177"/>
      <c r="P52" s="168"/>
      <c r="Q52" s="397" t="s">
        <v>298</v>
      </c>
      <c r="R52" s="380"/>
      <c r="S52" s="380"/>
      <c r="T52" s="380"/>
      <c r="U52" s="380"/>
      <c r="V52" s="380"/>
      <c r="W52" s="380"/>
      <c r="X52" s="404"/>
    </row>
    <row r="53" spans="2:24" ht="20.25" customHeight="1" x14ac:dyDescent="0.15">
      <c r="D53" s="172" t="s">
        <v>371</v>
      </c>
      <c r="P53" s="168"/>
      <c r="Q53" s="226"/>
      <c r="R53" s="168"/>
      <c r="S53" s="168"/>
      <c r="T53" s="168"/>
      <c r="U53" s="168"/>
      <c r="V53" s="168"/>
      <c r="W53" s="168"/>
      <c r="X53" s="241"/>
    </row>
    <row r="54" spans="2:24" ht="20.25" customHeight="1" x14ac:dyDescent="0.15">
      <c r="G54" s="177" t="s">
        <v>372</v>
      </c>
      <c r="H54" s="172" t="s">
        <v>198</v>
      </c>
      <c r="P54" s="168"/>
      <c r="Q54" s="226"/>
      <c r="R54" s="168"/>
      <c r="S54" s="168"/>
      <c r="T54" s="273" t="s">
        <v>200</v>
      </c>
      <c r="U54" s="402">
        <v>1.4E-2</v>
      </c>
      <c r="V54" s="402"/>
      <c r="W54" s="168"/>
      <c r="X54" s="241"/>
    </row>
    <row r="55" spans="2:24" ht="20.25" customHeight="1" x14ac:dyDescent="0.15">
      <c r="G55" s="177" t="s">
        <v>373</v>
      </c>
      <c r="H55" s="401">
        <f>ROUND(U54*U55+U56,3)</f>
        <v>1.2869999999999999</v>
      </c>
      <c r="I55" s="401"/>
      <c r="J55" s="176" t="s">
        <v>374</v>
      </c>
      <c r="P55" s="168"/>
      <c r="Q55" s="226"/>
      <c r="R55" s="168"/>
      <c r="S55" s="168"/>
      <c r="T55" s="273" t="s">
        <v>202</v>
      </c>
      <c r="U55" s="393">
        <f>K16</f>
        <v>0</v>
      </c>
      <c r="V55" s="393"/>
      <c r="W55" s="168"/>
      <c r="X55" s="241"/>
    </row>
    <row r="56" spans="2:24" ht="20.25" customHeight="1" x14ac:dyDescent="0.15">
      <c r="E56" s="212"/>
      <c r="H56" s="213"/>
      <c r="P56" s="168"/>
      <c r="Q56" s="226"/>
      <c r="R56" s="168"/>
      <c r="S56" s="168"/>
      <c r="T56" s="273" t="s">
        <v>201</v>
      </c>
      <c r="U56" s="402">
        <v>1.2869999999999999</v>
      </c>
      <c r="V56" s="402"/>
      <c r="W56" s="168"/>
      <c r="X56" s="241"/>
    </row>
    <row r="57" spans="2:24" ht="20.25" customHeight="1" x14ac:dyDescent="0.15">
      <c r="B57" s="172" t="s">
        <v>203</v>
      </c>
      <c r="F57" s="177" t="s">
        <v>375</v>
      </c>
      <c r="G57" s="178" t="s">
        <v>205</v>
      </c>
      <c r="H57" s="178"/>
      <c r="P57" s="168"/>
      <c r="Q57" s="226"/>
      <c r="R57" s="168"/>
      <c r="S57" s="168"/>
      <c r="T57" s="168"/>
      <c r="U57" s="168"/>
      <c r="V57" s="168"/>
      <c r="W57" s="168"/>
      <c r="X57" s="241"/>
    </row>
    <row r="58" spans="2:24" ht="20.25" customHeight="1" x14ac:dyDescent="0.15">
      <c r="F58" s="180" t="s">
        <v>375</v>
      </c>
      <c r="G58" s="403">
        <f>ROUND(G49*U58,3)</f>
        <v>0.188</v>
      </c>
      <c r="H58" s="403"/>
      <c r="P58" s="168"/>
      <c r="Q58" s="226"/>
      <c r="R58" s="168"/>
      <c r="S58" s="168"/>
      <c r="T58" s="273" t="s">
        <v>204</v>
      </c>
      <c r="U58" s="362">
        <v>0.81</v>
      </c>
      <c r="V58" s="362"/>
      <c r="W58" s="168"/>
      <c r="X58" s="241"/>
    </row>
    <row r="59" spans="2:24" ht="20.25" customHeight="1" x14ac:dyDescent="0.15">
      <c r="P59" s="168"/>
      <c r="Q59" s="226"/>
      <c r="R59" s="168"/>
      <c r="S59" s="168"/>
      <c r="T59" s="168"/>
      <c r="U59" s="168"/>
      <c r="V59" s="168"/>
      <c r="W59" s="168"/>
      <c r="X59" s="241"/>
    </row>
    <row r="60" spans="2:24" ht="20.25" customHeight="1" x14ac:dyDescent="0.15">
      <c r="B60" s="172" t="s">
        <v>183</v>
      </c>
      <c r="F60" s="213" t="s">
        <v>250</v>
      </c>
      <c r="G60" s="172" t="s">
        <v>206</v>
      </c>
      <c r="P60" s="168"/>
      <c r="Q60" s="226"/>
      <c r="R60" s="168"/>
      <c r="S60" s="168"/>
      <c r="T60" s="273" t="s">
        <v>207</v>
      </c>
      <c r="U60" s="408">
        <f>H16</f>
        <v>0</v>
      </c>
      <c r="V60" s="408"/>
      <c r="W60" s="168" t="s">
        <v>376</v>
      </c>
      <c r="X60" s="241"/>
    </row>
    <row r="61" spans="2:24" ht="20.25" customHeight="1" x14ac:dyDescent="0.15">
      <c r="F61" s="213" t="s">
        <v>377</v>
      </c>
      <c r="G61" s="392">
        <f>G58*U60</f>
        <v>0</v>
      </c>
      <c r="H61" s="392"/>
      <c r="I61" s="362" t="s">
        <v>378</v>
      </c>
      <c r="J61" s="362"/>
      <c r="P61" s="168"/>
      <c r="Q61" s="226"/>
      <c r="R61" s="168"/>
      <c r="S61" s="168"/>
      <c r="T61" s="168"/>
      <c r="U61" s="168"/>
      <c r="V61" s="168"/>
      <c r="W61" s="168"/>
      <c r="X61" s="241"/>
    </row>
    <row r="62" spans="2:24" ht="20.25" customHeight="1" thickBot="1" x14ac:dyDescent="0.2">
      <c r="P62" s="168"/>
      <c r="Q62" s="226"/>
      <c r="R62" s="168"/>
      <c r="S62" s="168"/>
      <c r="T62" s="168"/>
      <c r="U62" s="168"/>
      <c r="V62" s="168"/>
      <c r="W62" s="168"/>
      <c r="X62" s="241"/>
    </row>
    <row r="63" spans="2:24" ht="20.25" customHeight="1" thickBot="1" x14ac:dyDescent="0.2">
      <c r="B63" s="172" t="s">
        <v>189</v>
      </c>
      <c r="F63" s="213" t="s">
        <v>372</v>
      </c>
      <c r="G63" s="172" t="s">
        <v>211</v>
      </c>
      <c r="P63" s="168"/>
      <c r="Q63" s="226"/>
      <c r="R63" s="168"/>
      <c r="S63" s="168"/>
      <c r="T63" s="273" t="s">
        <v>212</v>
      </c>
      <c r="U63" s="513">
        <v>0.1</v>
      </c>
      <c r="V63" s="514"/>
      <c r="W63" s="168"/>
      <c r="X63" s="241"/>
    </row>
    <row r="64" spans="2:24" ht="20.25" customHeight="1" x14ac:dyDescent="0.15">
      <c r="F64" s="213" t="s">
        <v>379</v>
      </c>
      <c r="G64" s="392">
        <f>ROUND(K16*U60*U63,3)</f>
        <v>0</v>
      </c>
      <c r="H64" s="392"/>
      <c r="I64" s="362" t="s">
        <v>380</v>
      </c>
      <c r="J64" s="362"/>
      <c r="P64" s="168"/>
      <c r="Q64" s="226"/>
      <c r="R64" s="168"/>
      <c r="S64" s="168"/>
      <c r="T64" s="168"/>
      <c r="U64" s="168"/>
      <c r="V64" s="168"/>
      <c r="W64" s="168"/>
      <c r="X64" s="241"/>
    </row>
    <row r="65" spans="16:24" ht="20.25" customHeight="1" x14ac:dyDescent="0.15">
      <c r="P65" s="168"/>
      <c r="Q65" s="226"/>
      <c r="R65" s="168"/>
      <c r="S65" s="168"/>
      <c r="T65" s="168"/>
      <c r="U65" s="168"/>
      <c r="V65" s="168"/>
      <c r="W65" s="168"/>
      <c r="X65" s="241"/>
    </row>
    <row r="66" spans="16:24" ht="20.25" customHeight="1" x14ac:dyDescent="0.15">
      <c r="P66" s="168"/>
      <c r="Q66" s="226"/>
      <c r="R66" s="168"/>
      <c r="S66" s="168"/>
      <c r="T66" s="168"/>
      <c r="U66" s="168"/>
      <c r="V66" s="168"/>
      <c r="W66" s="168"/>
      <c r="X66" s="241"/>
    </row>
    <row r="67" spans="16:24" ht="20.25" customHeight="1" x14ac:dyDescent="0.15">
      <c r="P67" s="168"/>
      <c r="Q67" s="226"/>
      <c r="R67" s="168"/>
      <c r="S67" s="168"/>
      <c r="T67" s="168"/>
      <c r="U67" s="168"/>
      <c r="V67" s="168"/>
      <c r="W67" s="168"/>
      <c r="X67" s="241"/>
    </row>
    <row r="68" spans="16:24" ht="20.25" customHeight="1" x14ac:dyDescent="0.15">
      <c r="P68" s="168"/>
      <c r="Q68" s="226"/>
      <c r="R68" s="168"/>
      <c r="S68" s="168"/>
      <c r="T68" s="168"/>
      <c r="U68" s="168"/>
      <c r="V68" s="168"/>
      <c r="W68" s="168"/>
      <c r="X68" s="241"/>
    </row>
    <row r="69" spans="16:24" ht="20.25" customHeight="1" x14ac:dyDescent="0.15">
      <c r="P69" s="168"/>
      <c r="Q69" s="226"/>
      <c r="R69" s="168"/>
      <c r="S69" s="168"/>
      <c r="T69" s="168"/>
      <c r="U69" s="168"/>
      <c r="V69" s="168"/>
      <c r="W69" s="168"/>
      <c r="X69" s="241"/>
    </row>
    <row r="70" spans="16:24" ht="20.25" customHeight="1" x14ac:dyDescent="0.15">
      <c r="P70" s="168"/>
      <c r="Q70" s="226"/>
      <c r="R70" s="168"/>
      <c r="S70" s="168"/>
      <c r="T70" s="168"/>
      <c r="U70" s="168"/>
      <c r="V70" s="168"/>
      <c r="W70" s="168"/>
      <c r="X70" s="241"/>
    </row>
    <row r="71" spans="16:24" ht="20.25" customHeight="1" x14ac:dyDescent="0.15">
      <c r="P71" s="168"/>
      <c r="Q71" s="226"/>
      <c r="R71" s="168"/>
      <c r="S71" s="168"/>
      <c r="T71" s="168"/>
      <c r="U71" s="168"/>
      <c r="V71" s="168"/>
      <c r="W71" s="168"/>
      <c r="X71" s="241"/>
    </row>
    <row r="72" spans="16:24" ht="20.25" customHeight="1" x14ac:dyDescent="0.15">
      <c r="P72" s="168"/>
      <c r="Q72" s="226"/>
      <c r="R72" s="168"/>
      <c r="S72" s="168"/>
      <c r="T72" s="168"/>
      <c r="U72" s="168"/>
      <c r="V72" s="168"/>
      <c r="W72" s="168"/>
      <c r="X72" s="241"/>
    </row>
    <row r="73" spans="16:24" ht="20.25" customHeight="1" x14ac:dyDescent="0.15">
      <c r="P73" s="168"/>
      <c r="Q73" s="226"/>
      <c r="R73" s="168"/>
      <c r="S73" s="168"/>
      <c r="T73" s="168"/>
      <c r="U73" s="168"/>
      <c r="V73" s="168"/>
      <c r="W73" s="168"/>
      <c r="X73" s="241"/>
    </row>
    <row r="74" spans="16:24" ht="20.25" customHeight="1" x14ac:dyDescent="0.15">
      <c r="P74" s="168"/>
      <c r="Q74" s="226"/>
      <c r="R74" s="168"/>
      <c r="S74" s="168"/>
      <c r="T74" s="168"/>
      <c r="U74" s="168"/>
      <c r="V74" s="168"/>
      <c r="W74" s="168"/>
      <c r="X74" s="241"/>
    </row>
    <row r="75" spans="16:24" ht="20.25" customHeight="1" x14ac:dyDescent="0.15">
      <c r="P75" s="168"/>
      <c r="Q75" s="226"/>
      <c r="R75" s="168"/>
      <c r="S75" s="168"/>
      <c r="T75" s="168"/>
      <c r="U75" s="168"/>
      <c r="V75" s="168"/>
      <c r="W75" s="168"/>
      <c r="X75" s="241"/>
    </row>
    <row r="76" spans="16:24" ht="20.25" customHeight="1" x14ac:dyDescent="0.15">
      <c r="P76" s="168"/>
      <c r="Q76" s="226"/>
      <c r="R76" s="168"/>
      <c r="S76" s="168"/>
      <c r="T76" s="168"/>
      <c r="U76" s="168"/>
      <c r="V76" s="168"/>
      <c r="W76" s="168"/>
      <c r="X76" s="241"/>
    </row>
    <row r="77" spans="16:24" ht="20.25" customHeight="1" x14ac:dyDescent="0.15">
      <c r="P77" s="168"/>
      <c r="Q77" s="226"/>
      <c r="R77" s="168"/>
      <c r="S77" s="168"/>
      <c r="T77" s="168"/>
      <c r="U77" s="168"/>
      <c r="V77" s="168"/>
      <c r="W77" s="168"/>
      <c r="X77" s="241"/>
    </row>
    <row r="78" spans="16:24" ht="20.25" customHeight="1" x14ac:dyDescent="0.15">
      <c r="P78" s="168"/>
      <c r="Q78" s="226"/>
      <c r="R78" s="168"/>
      <c r="S78" s="168"/>
      <c r="T78" s="168"/>
      <c r="U78" s="168"/>
      <c r="V78" s="168"/>
      <c r="W78" s="168"/>
      <c r="X78" s="241"/>
    </row>
    <row r="79" spans="16:24" ht="20.25" customHeight="1" x14ac:dyDescent="0.15">
      <c r="P79" s="168"/>
      <c r="Q79" s="226"/>
      <c r="R79" s="168"/>
      <c r="S79" s="168"/>
      <c r="T79" s="168"/>
      <c r="U79" s="168"/>
      <c r="V79" s="168"/>
      <c r="W79" s="168"/>
      <c r="X79" s="241"/>
    </row>
    <row r="80" spans="16:24" ht="20.25" customHeight="1" x14ac:dyDescent="0.15">
      <c r="P80" s="168"/>
      <c r="Q80" s="226"/>
      <c r="R80" s="168"/>
      <c r="S80" s="168"/>
      <c r="T80" s="168"/>
      <c r="U80" s="168"/>
      <c r="V80" s="168"/>
      <c r="W80" s="168"/>
      <c r="X80" s="241"/>
    </row>
    <row r="81" spans="1:24" ht="20.25" customHeight="1" x14ac:dyDescent="0.15">
      <c r="P81" s="168"/>
      <c r="Q81" s="270"/>
      <c r="R81" s="227"/>
      <c r="S81" s="227"/>
      <c r="T81" s="227"/>
      <c r="U81" s="227"/>
      <c r="V81" s="227"/>
      <c r="W81" s="227"/>
      <c r="X81" s="271"/>
    </row>
    <row r="82" spans="1:24" ht="20.25" customHeight="1" x14ac:dyDescent="0.15">
      <c r="P82" s="168"/>
    </row>
    <row r="83" spans="1:24" ht="20.25" customHeight="1" x14ac:dyDescent="0.15">
      <c r="P83" s="168"/>
    </row>
    <row r="84" spans="1:24" s="12" customFormat="1" ht="20.25" customHeight="1" x14ac:dyDescent="0.15">
      <c r="A84" s="384" t="s">
        <v>122</v>
      </c>
      <c r="B84" s="384"/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5" t="s">
        <v>322</v>
      </c>
      <c r="N84" s="386"/>
      <c r="O84" s="386"/>
      <c r="P84" s="386"/>
      <c r="Q84" s="386"/>
      <c r="R84" s="387"/>
      <c r="S84" s="170"/>
      <c r="T84" s="170"/>
      <c r="U84" s="382"/>
      <c r="V84" s="382"/>
      <c r="W84" s="382"/>
      <c r="X84" s="382"/>
    </row>
    <row r="85" spans="1:24" ht="20.25" customHeight="1" x14ac:dyDescent="0.15"/>
    <row r="86" spans="1:24" ht="20.25" customHeight="1" x14ac:dyDescent="0.15">
      <c r="A86" s="12" t="s">
        <v>413</v>
      </c>
      <c r="G86" s="12" t="s">
        <v>213</v>
      </c>
    </row>
    <row r="87" spans="1:24" ht="20.25" customHeight="1" x14ac:dyDescent="0.15">
      <c r="P87" s="168"/>
      <c r="Q87" s="363" t="s">
        <v>295</v>
      </c>
      <c r="R87" s="364"/>
      <c r="S87" s="364"/>
      <c r="T87" s="364"/>
      <c r="U87" s="364"/>
      <c r="V87" s="364"/>
      <c r="W87" s="364"/>
      <c r="X87" s="365"/>
    </row>
    <row r="88" spans="1:24" ht="20.25" customHeight="1" x14ac:dyDescent="0.15">
      <c r="A88" s="172"/>
      <c r="P88" s="168"/>
      <c r="Q88" s="226"/>
      <c r="R88" s="168"/>
      <c r="S88" s="168"/>
      <c r="T88" s="168"/>
      <c r="U88" s="168"/>
      <c r="V88" s="168"/>
      <c r="W88" s="168"/>
      <c r="X88" s="241"/>
    </row>
    <row r="89" spans="1:24" ht="20.25" customHeight="1" x14ac:dyDescent="0.15">
      <c r="B89" s="178" t="s">
        <v>196</v>
      </c>
      <c r="C89" s="178"/>
      <c r="D89" s="178"/>
      <c r="F89" s="177" t="s">
        <v>367</v>
      </c>
      <c r="G89" s="178" t="s">
        <v>197</v>
      </c>
      <c r="H89" s="178"/>
      <c r="I89" s="178"/>
      <c r="J89" s="178"/>
      <c r="Q89" s="226"/>
      <c r="R89" s="168"/>
      <c r="S89" s="168"/>
      <c r="T89" s="168"/>
      <c r="U89" s="168"/>
      <c r="V89" s="168"/>
      <c r="W89" s="168"/>
      <c r="X89" s="241"/>
    </row>
    <row r="90" spans="1:24" ht="20.25" customHeight="1" thickBot="1" x14ac:dyDescent="0.2">
      <c r="B90" s="178"/>
      <c r="C90" s="178"/>
      <c r="D90" s="178"/>
      <c r="F90" s="180" t="s">
        <v>368</v>
      </c>
      <c r="G90" s="403">
        <f>ROUND(U91*H96*3600/100,3)</f>
        <v>0.122</v>
      </c>
      <c r="H90" s="403"/>
      <c r="I90" s="178"/>
      <c r="J90" s="178"/>
      <c r="Q90" s="226" t="s">
        <v>369</v>
      </c>
      <c r="R90" s="168"/>
      <c r="S90" s="168"/>
      <c r="T90" s="168"/>
      <c r="U90" s="168"/>
      <c r="V90" s="168"/>
      <c r="W90" s="168"/>
      <c r="X90" s="241"/>
    </row>
    <row r="91" spans="1:24" ht="20.25" customHeight="1" thickBot="1" x14ac:dyDescent="0.2">
      <c r="Q91" s="226"/>
      <c r="R91" s="168"/>
      <c r="S91" s="168"/>
      <c r="T91" s="168"/>
      <c r="U91" s="495">
        <v>5.0000000000000001E-3</v>
      </c>
      <c r="V91" s="496"/>
      <c r="W91" s="168" t="s">
        <v>370</v>
      </c>
      <c r="X91" s="241"/>
    </row>
    <row r="92" spans="1:24" ht="20.25" customHeight="1" x14ac:dyDescent="0.15">
      <c r="G92" s="177"/>
      <c r="Q92" s="397" t="s">
        <v>297</v>
      </c>
      <c r="R92" s="380"/>
      <c r="S92" s="380"/>
      <c r="T92" s="380"/>
      <c r="U92" s="380"/>
      <c r="V92" s="380"/>
      <c r="W92" s="380"/>
      <c r="X92" s="404"/>
    </row>
    <row r="93" spans="1:24" ht="20.25" customHeight="1" x14ac:dyDescent="0.15">
      <c r="G93" s="177"/>
      <c r="Q93" s="397" t="s">
        <v>298</v>
      </c>
      <c r="R93" s="380"/>
      <c r="S93" s="380"/>
      <c r="T93" s="380"/>
      <c r="U93" s="380"/>
      <c r="V93" s="380"/>
      <c r="W93" s="380"/>
      <c r="X93" s="404"/>
    </row>
    <row r="94" spans="1:24" ht="20.25" customHeight="1" x14ac:dyDescent="0.15">
      <c r="D94" s="172" t="s">
        <v>371</v>
      </c>
      <c r="P94" s="168"/>
      <c r="Q94" s="226"/>
      <c r="R94" s="168"/>
      <c r="S94" s="168"/>
      <c r="T94" s="168"/>
      <c r="U94" s="168"/>
      <c r="V94" s="168"/>
      <c r="W94" s="168"/>
      <c r="X94" s="241"/>
    </row>
    <row r="95" spans="1:24" ht="20.25" customHeight="1" x14ac:dyDescent="0.15">
      <c r="G95" s="177" t="s">
        <v>372</v>
      </c>
      <c r="H95" s="172" t="s">
        <v>198</v>
      </c>
      <c r="P95" s="168"/>
      <c r="Q95" s="226"/>
      <c r="R95" s="168"/>
      <c r="S95" s="168"/>
      <c r="T95" s="273" t="s">
        <v>200</v>
      </c>
      <c r="U95" s="402">
        <v>3.093</v>
      </c>
      <c r="V95" s="402"/>
      <c r="W95" s="168"/>
      <c r="X95" s="241"/>
    </row>
    <row r="96" spans="1:24" ht="20.25" customHeight="1" x14ac:dyDescent="0.15">
      <c r="G96" s="177" t="s">
        <v>373</v>
      </c>
      <c r="H96" s="401">
        <f>ROUND(U95*U96+I98,3)</f>
        <v>0.67700000000000005</v>
      </c>
      <c r="I96" s="401"/>
      <c r="J96" s="176" t="s">
        <v>374</v>
      </c>
      <c r="P96" s="168"/>
      <c r="Q96" s="226"/>
      <c r="R96" s="168"/>
      <c r="S96" s="168"/>
      <c r="T96" s="273" t="s">
        <v>202</v>
      </c>
      <c r="U96" s="393">
        <f>K17</f>
        <v>0</v>
      </c>
      <c r="V96" s="393"/>
      <c r="W96" s="168"/>
      <c r="X96" s="241"/>
    </row>
    <row r="97" spans="2:24" ht="20.25" customHeight="1" x14ac:dyDescent="0.15">
      <c r="E97" s="212"/>
      <c r="F97" s="172" t="s">
        <v>214</v>
      </c>
      <c r="G97" s="212"/>
      <c r="H97" s="180" t="s">
        <v>373</v>
      </c>
      <c r="I97" s="178" t="s">
        <v>215</v>
      </c>
      <c r="P97" s="168"/>
      <c r="Q97" s="226"/>
      <c r="R97" s="168"/>
      <c r="S97" s="168"/>
      <c r="T97" s="273" t="s">
        <v>216</v>
      </c>
      <c r="U97" s="393">
        <f>N17</f>
        <v>0</v>
      </c>
      <c r="V97" s="393"/>
      <c r="W97" s="168"/>
      <c r="X97" s="241"/>
    </row>
    <row r="98" spans="2:24" ht="20.25" customHeight="1" x14ac:dyDescent="0.15">
      <c r="H98" s="180" t="s">
        <v>377</v>
      </c>
      <c r="I98" s="392">
        <f>ROUND(1.34*U97+0.677,3)</f>
        <v>0.67700000000000005</v>
      </c>
      <c r="J98" s="392"/>
      <c r="P98" s="168"/>
      <c r="Q98" s="226"/>
      <c r="R98" s="168"/>
      <c r="S98" s="168"/>
      <c r="T98" s="168"/>
      <c r="U98" s="168"/>
      <c r="V98" s="168"/>
      <c r="W98" s="168"/>
      <c r="X98" s="241"/>
    </row>
    <row r="99" spans="2:24" ht="20.25" customHeight="1" x14ac:dyDescent="0.15">
      <c r="P99" s="168"/>
      <c r="Q99" s="226"/>
      <c r="R99" s="168"/>
      <c r="S99" s="168"/>
      <c r="T99" s="168"/>
      <c r="U99" s="168"/>
      <c r="V99" s="168"/>
      <c r="W99" s="168"/>
      <c r="X99" s="241"/>
    </row>
    <row r="100" spans="2:24" ht="20.25" customHeight="1" x14ac:dyDescent="0.15">
      <c r="B100" s="172" t="s">
        <v>203</v>
      </c>
      <c r="F100" s="177" t="s">
        <v>375</v>
      </c>
      <c r="G100" s="178" t="s">
        <v>205</v>
      </c>
      <c r="H100" s="178"/>
      <c r="P100" s="168"/>
      <c r="Q100" s="226"/>
      <c r="R100" s="168"/>
      <c r="S100" s="168"/>
      <c r="T100" s="168"/>
      <c r="U100" s="168"/>
      <c r="V100" s="168"/>
      <c r="W100" s="168"/>
      <c r="X100" s="241"/>
    </row>
    <row r="101" spans="2:24" ht="20.25" customHeight="1" x14ac:dyDescent="0.15">
      <c r="F101" s="180" t="s">
        <v>375</v>
      </c>
      <c r="G101" s="403">
        <f>ROUND(G90*U101,3)</f>
        <v>9.9000000000000005E-2</v>
      </c>
      <c r="H101" s="403"/>
      <c r="P101" s="168"/>
      <c r="Q101" s="226"/>
      <c r="R101" s="168"/>
      <c r="S101" s="168"/>
      <c r="T101" s="273" t="s">
        <v>204</v>
      </c>
      <c r="U101" s="362">
        <v>0.81</v>
      </c>
      <c r="V101" s="362"/>
      <c r="W101" s="168"/>
      <c r="X101" s="241"/>
    </row>
    <row r="102" spans="2:24" ht="20.25" customHeight="1" x14ac:dyDescent="0.15">
      <c r="P102" s="168"/>
      <c r="Q102" s="226"/>
      <c r="R102" s="168"/>
      <c r="S102" s="168"/>
      <c r="T102" s="168"/>
      <c r="U102" s="168"/>
      <c r="V102" s="168"/>
      <c r="W102" s="168"/>
      <c r="X102" s="241"/>
    </row>
    <row r="103" spans="2:24" ht="20.25" customHeight="1" x14ac:dyDescent="0.15">
      <c r="B103" s="172" t="s">
        <v>183</v>
      </c>
      <c r="F103" s="213" t="s">
        <v>250</v>
      </c>
      <c r="G103" s="172" t="s">
        <v>206</v>
      </c>
      <c r="P103" s="168"/>
      <c r="Q103" s="226"/>
      <c r="R103" s="168"/>
      <c r="S103" s="168"/>
      <c r="T103" s="273" t="s">
        <v>207</v>
      </c>
      <c r="U103" s="408">
        <f>H17</f>
        <v>0</v>
      </c>
      <c r="V103" s="408"/>
      <c r="W103" s="168" t="s">
        <v>23</v>
      </c>
      <c r="X103" s="241"/>
    </row>
    <row r="104" spans="2:24" ht="20.25" customHeight="1" x14ac:dyDescent="0.15">
      <c r="F104" s="213" t="s">
        <v>377</v>
      </c>
      <c r="G104" s="392">
        <f>G101*U103</f>
        <v>0</v>
      </c>
      <c r="H104" s="392"/>
      <c r="I104" s="362" t="s">
        <v>378</v>
      </c>
      <c r="J104" s="362"/>
      <c r="P104" s="168"/>
      <c r="Q104" s="226"/>
      <c r="R104" s="168"/>
      <c r="S104" s="168"/>
      <c r="T104" s="168"/>
      <c r="U104" s="168"/>
      <c r="V104" s="168"/>
      <c r="W104" s="168"/>
      <c r="X104" s="241"/>
    </row>
    <row r="105" spans="2:24" ht="20.25" customHeight="1" x14ac:dyDescent="0.15">
      <c r="P105" s="168"/>
      <c r="Q105" s="226"/>
      <c r="R105" s="168"/>
      <c r="S105" s="168"/>
      <c r="T105" s="168"/>
      <c r="U105" s="168"/>
      <c r="V105" s="168"/>
      <c r="W105" s="168"/>
      <c r="X105" s="241"/>
    </row>
    <row r="106" spans="2:24" ht="20.25" customHeight="1" x14ac:dyDescent="0.15">
      <c r="B106" s="172" t="s">
        <v>189</v>
      </c>
      <c r="F106" s="213" t="s">
        <v>372</v>
      </c>
      <c r="G106" s="172" t="s">
        <v>217</v>
      </c>
      <c r="P106" s="168"/>
      <c r="Q106" s="226"/>
      <c r="R106" s="168"/>
      <c r="S106" s="168"/>
      <c r="T106" s="168"/>
      <c r="U106" s="168"/>
      <c r="V106" s="168"/>
      <c r="W106" s="168"/>
      <c r="X106" s="241"/>
    </row>
    <row r="107" spans="2:24" ht="20.25" customHeight="1" x14ac:dyDescent="0.15">
      <c r="F107" s="213" t="s">
        <v>246</v>
      </c>
      <c r="G107" s="392">
        <f>ROUND(H110+H113,3)</f>
        <v>0</v>
      </c>
      <c r="H107" s="392"/>
      <c r="I107" s="362" t="s">
        <v>348</v>
      </c>
      <c r="J107" s="362"/>
      <c r="P107" s="168"/>
      <c r="Q107" s="226"/>
      <c r="R107" s="168"/>
      <c r="S107" s="168"/>
      <c r="T107" s="168"/>
      <c r="U107" s="168"/>
      <c r="V107" s="168"/>
      <c r="W107" s="168"/>
      <c r="X107" s="241"/>
    </row>
    <row r="108" spans="2:24" ht="20.25" customHeight="1" x14ac:dyDescent="0.15">
      <c r="D108" s="172" t="s">
        <v>218</v>
      </c>
      <c r="P108" s="168"/>
      <c r="Q108" s="226"/>
      <c r="R108" s="168"/>
      <c r="S108" s="168"/>
      <c r="T108" s="168"/>
      <c r="U108" s="168"/>
      <c r="V108" s="168"/>
      <c r="W108" s="168"/>
      <c r="X108" s="241"/>
    </row>
    <row r="109" spans="2:24" ht="20.25" customHeight="1" x14ac:dyDescent="0.15">
      <c r="G109" s="213" t="s">
        <v>246</v>
      </c>
      <c r="H109" s="172" t="s">
        <v>219</v>
      </c>
      <c r="P109" s="168"/>
      <c r="Q109" s="226"/>
      <c r="R109" s="168"/>
      <c r="S109" s="168"/>
      <c r="T109" s="273" t="s">
        <v>303</v>
      </c>
      <c r="U109" s="394">
        <f>N25</f>
        <v>0</v>
      </c>
      <c r="V109" s="394"/>
      <c r="W109" s="168" t="s">
        <v>376</v>
      </c>
      <c r="X109" s="241"/>
    </row>
    <row r="110" spans="2:24" ht="20.25" customHeight="1" x14ac:dyDescent="0.15">
      <c r="G110" s="213" t="s">
        <v>377</v>
      </c>
      <c r="H110" s="392">
        <f>ROUND(U109*U110,3)</f>
        <v>0</v>
      </c>
      <c r="I110" s="392"/>
      <c r="J110" s="362" t="s">
        <v>381</v>
      </c>
      <c r="K110" s="362"/>
      <c r="P110" s="168"/>
      <c r="Q110" s="226"/>
      <c r="R110" s="168"/>
      <c r="S110" s="168"/>
      <c r="T110" s="273" t="s">
        <v>207</v>
      </c>
      <c r="U110" s="408">
        <f>H17</f>
        <v>0</v>
      </c>
      <c r="V110" s="408"/>
      <c r="W110" s="168" t="s">
        <v>23</v>
      </c>
      <c r="X110" s="241"/>
    </row>
    <row r="111" spans="2:24" ht="20.25" customHeight="1" x14ac:dyDescent="0.15">
      <c r="D111" s="172" t="s">
        <v>220</v>
      </c>
      <c r="P111" s="168"/>
      <c r="Q111" s="226"/>
      <c r="R111" s="168"/>
      <c r="S111" s="168"/>
      <c r="T111" s="168"/>
      <c r="U111" s="168"/>
      <c r="V111" s="168"/>
      <c r="W111" s="168"/>
      <c r="X111" s="241"/>
    </row>
    <row r="112" spans="2:24" ht="20.25" customHeight="1" x14ac:dyDescent="0.15">
      <c r="G112" s="213" t="s">
        <v>29</v>
      </c>
      <c r="H112" s="358" t="s">
        <v>221</v>
      </c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405"/>
    </row>
    <row r="113" spans="1:24" ht="20.25" customHeight="1" thickBot="1" x14ac:dyDescent="0.2">
      <c r="G113" s="213" t="s">
        <v>367</v>
      </c>
      <c r="H113" s="392">
        <f>ROUND((U96*U97-U109)*U110*U114,3)</f>
        <v>0</v>
      </c>
      <c r="I113" s="392"/>
      <c r="J113" s="362" t="s">
        <v>265</v>
      </c>
      <c r="K113" s="362"/>
      <c r="P113" s="241"/>
      <c r="Q113" s="226"/>
      <c r="R113" s="168"/>
      <c r="S113" s="168"/>
      <c r="T113" s="168"/>
      <c r="U113" s="168"/>
      <c r="V113" s="168"/>
      <c r="W113" s="168"/>
      <c r="X113" s="241"/>
    </row>
    <row r="114" spans="1:24" ht="20.25" customHeight="1" thickBot="1" x14ac:dyDescent="0.2">
      <c r="G114" s="213"/>
      <c r="H114" s="213"/>
      <c r="I114" s="213"/>
      <c r="J114" s="213"/>
      <c r="K114" s="168"/>
      <c r="P114" s="241"/>
      <c r="Q114" s="487" t="s">
        <v>222</v>
      </c>
      <c r="R114" s="483"/>
      <c r="S114" s="483"/>
      <c r="T114" s="485"/>
      <c r="U114" s="495">
        <v>0.4</v>
      </c>
      <c r="V114" s="496"/>
      <c r="W114" s="168"/>
      <c r="X114" s="241"/>
    </row>
    <row r="115" spans="1:24" ht="20.25" customHeight="1" x14ac:dyDescent="0.15">
      <c r="P115" s="241"/>
      <c r="Q115" s="226"/>
      <c r="R115" s="168"/>
      <c r="S115" s="168"/>
      <c r="T115" s="168"/>
      <c r="U115" s="168"/>
      <c r="V115" s="168"/>
      <c r="W115" s="168"/>
      <c r="X115" s="241"/>
    </row>
    <row r="116" spans="1:24" ht="20.25" customHeight="1" x14ac:dyDescent="0.15">
      <c r="P116" s="241"/>
      <c r="Q116" s="226"/>
      <c r="R116" s="168"/>
      <c r="S116" s="168"/>
      <c r="T116" s="168"/>
      <c r="U116" s="168"/>
      <c r="V116" s="168"/>
      <c r="W116" s="168"/>
      <c r="X116" s="241"/>
    </row>
    <row r="117" spans="1:24" ht="20.25" customHeight="1" x14ac:dyDescent="0.15">
      <c r="P117" s="241"/>
      <c r="Q117" s="226"/>
      <c r="R117" s="168"/>
      <c r="S117" s="168"/>
      <c r="T117" s="168"/>
      <c r="U117" s="168"/>
      <c r="V117" s="168"/>
      <c r="W117" s="168"/>
      <c r="X117" s="241"/>
    </row>
    <row r="118" spans="1:24" ht="20.25" customHeight="1" x14ac:dyDescent="0.15">
      <c r="P118" s="241"/>
      <c r="Q118" s="226"/>
      <c r="R118" s="168"/>
      <c r="S118" s="168"/>
      <c r="T118" s="168"/>
      <c r="U118" s="168"/>
      <c r="V118" s="168"/>
      <c r="W118" s="168"/>
      <c r="X118" s="241"/>
    </row>
    <row r="119" spans="1:24" ht="20.25" customHeight="1" x14ac:dyDescent="0.15">
      <c r="P119" s="241"/>
      <c r="Q119" s="226"/>
      <c r="R119" s="168"/>
      <c r="S119" s="168"/>
      <c r="T119" s="168"/>
      <c r="U119" s="168"/>
      <c r="V119" s="168"/>
      <c r="W119" s="168"/>
      <c r="X119" s="241"/>
    </row>
    <row r="120" spans="1:24" ht="20.25" customHeight="1" x14ac:dyDescent="0.15">
      <c r="P120" s="241"/>
      <c r="Q120" s="226"/>
      <c r="R120" s="168"/>
      <c r="S120" s="168"/>
      <c r="T120" s="168"/>
      <c r="U120" s="168"/>
      <c r="V120" s="168"/>
      <c r="W120" s="168"/>
      <c r="X120" s="241"/>
    </row>
    <row r="121" spans="1:24" ht="20.25" customHeight="1" x14ac:dyDescent="0.15">
      <c r="P121" s="241"/>
      <c r="Q121" s="226"/>
      <c r="R121" s="168"/>
      <c r="S121" s="168"/>
      <c r="T121" s="168"/>
      <c r="U121" s="168"/>
      <c r="V121" s="168"/>
      <c r="W121" s="168"/>
      <c r="X121" s="241"/>
    </row>
    <row r="122" spans="1:24" ht="20.25" customHeight="1" x14ac:dyDescent="0.15">
      <c r="P122" s="241"/>
      <c r="Q122" s="270"/>
      <c r="R122" s="227"/>
      <c r="S122" s="227"/>
      <c r="T122" s="227"/>
      <c r="U122" s="227"/>
      <c r="V122" s="227"/>
      <c r="W122" s="227"/>
      <c r="X122" s="271"/>
    </row>
    <row r="123" spans="1:24" ht="20.25" customHeight="1" x14ac:dyDescent="0.15"/>
    <row r="124" spans="1:24" ht="20.25" customHeight="1" x14ac:dyDescent="0.15"/>
    <row r="125" spans="1:24" s="12" customFormat="1" ht="21" customHeight="1" x14ac:dyDescent="0.15">
      <c r="A125" s="384" t="s">
        <v>122</v>
      </c>
      <c r="B125" s="384"/>
      <c r="C125" s="384"/>
      <c r="D125" s="384"/>
      <c r="E125" s="384"/>
      <c r="F125" s="384"/>
      <c r="G125" s="384"/>
      <c r="H125" s="384"/>
      <c r="I125" s="384"/>
      <c r="J125" s="384"/>
      <c r="K125" s="384"/>
      <c r="L125" s="384"/>
      <c r="M125" s="385" t="s">
        <v>322</v>
      </c>
      <c r="N125" s="386"/>
      <c r="O125" s="386"/>
      <c r="P125" s="386"/>
      <c r="Q125" s="386"/>
      <c r="R125" s="387"/>
      <c r="S125" s="170"/>
      <c r="T125" s="170"/>
      <c r="U125" s="382"/>
      <c r="V125" s="382"/>
      <c r="W125" s="382"/>
      <c r="X125" s="382"/>
    </row>
    <row r="126" spans="1:24" ht="20.25" customHeight="1" x14ac:dyDescent="0.15"/>
    <row r="127" spans="1:24" ht="20.25" customHeight="1" x14ac:dyDescent="0.15">
      <c r="A127" s="12" t="s">
        <v>413</v>
      </c>
      <c r="G127" s="12" t="s">
        <v>0</v>
      </c>
    </row>
    <row r="128" spans="1:24" ht="20.25" customHeight="1" x14ac:dyDescent="0.15"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363" t="s">
        <v>295</v>
      </c>
      <c r="R128" s="364"/>
      <c r="S128" s="364"/>
      <c r="T128" s="364"/>
      <c r="U128" s="364"/>
      <c r="V128" s="364"/>
      <c r="W128" s="364"/>
      <c r="X128" s="365"/>
    </row>
    <row r="129" spans="2:24" ht="20.25" customHeight="1" x14ac:dyDescent="0.15">
      <c r="G129" s="168"/>
      <c r="H129" s="168"/>
      <c r="I129" s="168"/>
      <c r="J129" s="168"/>
      <c r="K129" s="168"/>
      <c r="L129" s="168"/>
      <c r="M129" s="168"/>
      <c r="N129" s="168"/>
      <c r="O129" s="168"/>
      <c r="P129" s="241"/>
      <c r="Q129" s="168"/>
      <c r="R129" s="168"/>
      <c r="S129" s="168"/>
      <c r="T129" s="168"/>
      <c r="U129" s="168"/>
      <c r="V129" s="168"/>
      <c r="W129" s="168"/>
      <c r="X129" s="241"/>
    </row>
    <row r="130" spans="2:24" ht="20.25" customHeight="1" x14ac:dyDescent="0.15">
      <c r="B130" s="178" t="s">
        <v>196</v>
      </c>
      <c r="C130" s="178"/>
      <c r="D130" s="178"/>
      <c r="F130" s="177" t="s">
        <v>367</v>
      </c>
      <c r="G130" s="208" t="s">
        <v>197</v>
      </c>
      <c r="H130" s="208"/>
      <c r="I130" s="208"/>
      <c r="J130" s="20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241"/>
    </row>
    <row r="131" spans="2:24" ht="20.25" customHeight="1" thickBot="1" x14ac:dyDescent="0.2">
      <c r="B131" s="178"/>
      <c r="C131" s="178"/>
      <c r="D131" s="178"/>
      <c r="F131" s="180" t="s">
        <v>368</v>
      </c>
      <c r="G131" s="392">
        <f>ROUND(U132*H137*3600/100,3)</f>
        <v>-5.0999999999999997E-2</v>
      </c>
      <c r="H131" s="392"/>
      <c r="I131" s="208"/>
      <c r="J131" s="208"/>
      <c r="K131" s="168"/>
      <c r="L131" s="168"/>
      <c r="M131" s="168"/>
      <c r="N131" s="168"/>
      <c r="O131" s="168"/>
      <c r="P131" s="168"/>
      <c r="Q131" s="226" t="s">
        <v>369</v>
      </c>
      <c r="R131" s="168"/>
      <c r="S131" s="168"/>
      <c r="T131" s="168"/>
      <c r="U131" s="168"/>
      <c r="V131" s="168"/>
      <c r="W131" s="168"/>
      <c r="X131" s="241"/>
    </row>
    <row r="132" spans="2:24" ht="20.25" customHeight="1" thickBot="1" x14ac:dyDescent="0.2"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226"/>
      <c r="R132" s="168"/>
      <c r="S132" s="168"/>
      <c r="T132" s="168"/>
      <c r="U132" s="495">
        <v>5.0000000000000001E-3</v>
      </c>
      <c r="V132" s="496"/>
      <c r="W132" s="168" t="s">
        <v>370</v>
      </c>
      <c r="X132" s="241"/>
    </row>
    <row r="133" spans="2:24" ht="20.25" customHeight="1" x14ac:dyDescent="0.15">
      <c r="G133" s="272"/>
      <c r="H133" s="168"/>
      <c r="I133" s="168"/>
      <c r="J133" s="168"/>
      <c r="K133" s="168"/>
      <c r="L133" s="168"/>
      <c r="M133" s="168"/>
      <c r="N133" s="168"/>
      <c r="O133" s="168"/>
      <c r="P133" s="168"/>
      <c r="Q133" s="397" t="s">
        <v>297</v>
      </c>
      <c r="R133" s="380"/>
      <c r="S133" s="380"/>
      <c r="T133" s="380"/>
      <c r="U133" s="380"/>
      <c r="V133" s="380"/>
      <c r="W133" s="380"/>
      <c r="X133" s="404"/>
    </row>
    <row r="134" spans="2:24" ht="20.25" customHeight="1" x14ac:dyDescent="0.15">
      <c r="G134" s="272"/>
      <c r="H134" s="168"/>
      <c r="I134" s="168"/>
      <c r="J134" s="168"/>
      <c r="K134" s="168"/>
      <c r="L134" s="168"/>
      <c r="M134" s="168"/>
      <c r="N134" s="168"/>
      <c r="O134" s="168"/>
      <c r="P134" s="168"/>
      <c r="Q134" s="397" t="s">
        <v>298</v>
      </c>
      <c r="R134" s="380"/>
      <c r="S134" s="380"/>
      <c r="T134" s="380"/>
      <c r="U134" s="380"/>
      <c r="V134" s="380"/>
      <c r="W134" s="380"/>
      <c r="X134" s="404"/>
    </row>
    <row r="135" spans="2:24" ht="20.25" customHeight="1" x14ac:dyDescent="0.15">
      <c r="D135" s="172" t="s">
        <v>371</v>
      </c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226"/>
      <c r="R135" s="168"/>
      <c r="S135" s="168"/>
      <c r="T135" s="168"/>
      <c r="U135" s="168"/>
      <c r="V135" s="168"/>
      <c r="W135" s="168"/>
      <c r="X135" s="241"/>
    </row>
    <row r="136" spans="2:24" ht="20.25" customHeight="1" x14ac:dyDescent="0.15">
      <c r="G136" s="272" t="s">
        <v>372</v>
      </c>
      <c r="H136" s="168" t="s">
        <v>299</v>
      </c>
      <c r="I136" s="168"/>
      <c r="J136" s="168"/>
      <c r="K136" s="168"/>
      <c r="L136" s="168"/>
      <c r="M136" s="168"/>
      <c r="N136" s="168"/>
      <c r="O136" s="168"/>
      <c r="P136" s="168"/>
      <c r="Q136" s="226"/>
      <c r="R136" s="168"/>
      <c r="S136" s="168"/>
      <c r="T136" s="168"/>
      <c r="U136" s="168"/>
      <c r="V136" s="168"/>
      <c r="W136" s="168"/>
      <c r="X136" s="241"/>
    </row>
    <row r="137" spans="2:24" ht="20.25" customHeight="1" x14ac:dyDescent="0.15">
      <c r="G137" s="272" t="s">
        <v>210</v>
      </c>
      <c r="H137" s="401">
        <f>ROUND(I139*U138*U138+I141*U138+I143,3)</f>
        <v>-0.28299999999999997</v>
      </c>
      <c r="I137" s="401"/>
      <c r="J137" s="173" t="s">
        <v>275</v>
      </c>
      <c r="K137" s="168"/>
      <c r="L137" s="168"/>
      <c r="M137" s="168"/>
      <c r="N137" s="168"/>
      <c r="O137" s="168"/>
      <c r="P137" s="168"/>
      <c r="Q137" s="226"/>
      <c r="R137" s="168"/>
      <c r="S137" s="168"/>
      <c r="T137" s="168"/>
      <c r="U137" s="168"/>
      <c r="V137" s="168"/>
      <c r="W137" s="168"/>
      <c r="X137" s="241"/>
    </row>
    <row r="138" spans="2:24" ht="20.25" customHeight="1" x14ac:dyDescent="0.15">
      <c r="E138" s="212"/>
      <c r="F138" s="172" t="s">
        <v>199</v>
      </c>
      <c r="G138" s="273"/>
      <c r="H138" s="189" t="s">
        <v>373</v>
      </c>
      <c r="I138" s="208" t="s">
        <v>2</v>
      </c>
      <c r="J138" s="168"/>
      <c r="K138" s="168"/>
      <c r="L138" s="168"/>
      <c r="M138" s="168"/>
      <c r="N138" s="168"/>
      <c r="O138" s="168"/>
      <c r="P138" s="241"/>
      <c r="Q138" s="395" t="s">
        <v>202</v>
      </c>
      <c r="R138" s="395"/>
      <c r="S138" s="395"/>
      <c r="T138" s="395"/>
      <c r="U138" s="393">
        <f>K18</f>
        <v>0</v>
      </c>
      <c r="V138" s="393"/>
      <c r="W138" s="168"/>
      <c r="X138" s="241"/>
    </row>
    <row r="139" spans="2:24" ht="20.25" customHeight="1" x14ac:dyDescent="0.15">
      <c r="G139" s="168"/>
      <c r="H139" s="189" t="s">
        <v>367</v>
      </c>
      <c r="I139" s="392">
        <f>ROUND(0.12*U139+0.985,3)</f>
        <v>0.98499999999999999</v>
      </c>
      <c r="J139" s="392"/>
      <c r="K139" s="168"/>
      <c r="L139" s="168"/>
      <c r="M139" s="168"/>
      <c r="N139" s="168"/>
      <c r="O139" s="168"/>
      <c r="P139" s="241"/>
      <c r="Q139" s="395" t="s">
        <v>216</v>
      </c>
      <c r="R139" s="395"/>
      <c r="S139" s="395"/>
      <c r="T139" s="395"/>
      <c r="U139" s="393">
        <f>N18</f>
        <v>0</v>
      </c>
      <c r="V139" s="393"/>
      <c r="W139" s="168"/>
      <c r="X139" s="241"/>
    </row>
    <row r="140" spans="2:24" ht="20.25" customHeight="1" x14ac:dyDescent="0.15">
      <c r="E140" s="212"/>
      <c r="F140" s="172" t="s">
        <v>214</v>
      </c>
      <c r="G140" s="273"/>
      <c r="H140" s="189" t="s">
        <v>373</v>
      </c>
      <c r="I140" s="208" t="s">
        <v>3</v>
      </c>
      <c r="J140" s="168"/>
      <c r="K140" s="168"/>
      <c r="L140" s="168"/>
      <c r="M140" s="168"/>
      <c r="N140" s="168"/>
      <c r="O140" s="168"/>
      <c r="P140" s="241"/>
      <c r="Q140" s="168"/>
      <c r="R140" s="168"/>
      <c r="S140" s="168"/>
      <c r="T140" s="168"/>
      <c r="U140" s="168"/>
      <c r="V140" s="168"/>
      <c r="W140" s="168"/>
      <c r="X140" s="241"/>
    </row>
    <row r="141" spans="2:24" ht="20.25" customHeight="1" x14ac:dyDescent="0.15">
      <c r="G141" s="168"/>
      <c r="H141" s="189" t="s">
        <v>382</v>
      </c>
      <c r="I141" s="392">
        <f>ROUND(7.837*U139+0.82,3)</f>
        <v>0.82</v>
      </c>
      <c r="J141" s="392"/>
      <c r="K141" s="168"/>
      <c r="L141" s="168"/>
      <c r="M141" s="168"/>
      <c r="N141" s="168"/>
      <c r="O141" s="168"/>
      <c r="P141" s="241"/>
      <c r="Q141" s="168"/>
      <c r="R141" s="168"/>
      <c r="S141" s="168"/>
      <c r="T141" s="168"/>
      <c r="U141" s="168"/>
      <c r="V141" s="168"/>
      <c r="W141" s="168"/>
      <c r="X141" s="241"/>
    </row>
    <row r="142" spans="2:24" ht="20.25" customHeight="1" x14ac:dyDescent="0.15">
      <c r="E142" s="212"/>
      <c r="F142" s="172" t="s">
        <v>1</v>
      </c>
      <c r="G142" s="273"/>
      <c r="H142" s="189" t="s">
        <v>373</v>
      </c>
      <c r="I142" s="208" t="s">
        <v>4</v>
      </c>
      <c r="J142" s="168"/>
      <c r="K142" s="168"/>
      <c r="L142" s="168"/>
      <c r="M142" s="168"/>
      <c r="N142" s="168"/>
      <c r="O142" s="168"/>
      <c r="P142" s="241"/>
      <c r="Q142" s="168"/>
      <c r="R142" s="168"/>
      <c r="S142" s="168"/>
      <c r="T142" s="168"/>
      <c r="U142" s="168"/>
      <c r="V142" s="168"/>
      <c r="W142" s="168"/>
      <c r="X142" s="241"/>
    </row>
    <row r="143" spans="2:24" ht="20.25" customHeight="1" x14ac:dyDescent="0.15">
      <c r="G143" s="168"/>
      <c r="H143" s="189" t="s">
        <v>382</v>
      </c>
      <c r="I143" s="392">
        <f>ROUND(2.858*U139-0.283,3)</f>
        <v>-0.28299999999999997</v>
      </c>
      <c r="J143" s="392"/>
      <c r="K143" s="168"/>
      <c r="L143" s="168"/>
      <c r="M143" s="168"/>
      <c r="N143" s="168"/>
      <c r="O143" s="168"/>
      <c r="P143" s="241"/>
      <c r="Q143" s="168"/>
      <c r="R143" s="168"/>
      <c r="S143" s="168"/>
      <c r="T143" s="168"/>
      <c r="U143" s="168"/>
      <c r="V143" s="168"/>
      <c r="W143" s="168"/>
      <c r="X143" s="241"/>
    </row>
    <row r="144" spans="2:24" ht="20.25" customHeight="1" x14ac:dyDescent="0.15">
      <c r="G144" s="168"/>
      <c r="H144" s="168"/>
      <c r="I144" s="168"/>
      <c r="J144" s="168"/>
      <c r="K144" s="168"/>
      <c r="L144" s="168"/>
      <c r="M144" s="168"/>
      <c r="N144" s="168"/>
      <c r="O144" s="168"/>
      <c r="P144" s="241"/>
      <c r="Q144" s="168"/>
      <c r="R144" s="168"/>
      <c r="S144" s="168"/>
      <c r="T144" s="168"/>
      <c r="U144" s="168"/>
      <c r="V144" s="168"/>
      <c r="W144" s="168"/>
      <c r="X144" s="241"/>
    </row>
    <row r="145" spans="2:24" ht="20.25" customHeight="1" x14ac:dyDescent="0.15">
      <c r="B145" s="172" t="s">
        <v>203</v>
      </c>
      <c r="F145" s="177" t="s">
        <v>375</v>
      </c>
      <c r="G145" s="208" t="s">
        <v>205</v>
      </c>
      <c r="H145" s="208"/>
      <c r="I145" s="168"/>
      <c r="J145" s="168"/>
      <c r="K145" s="168"/>
      <c r="L145" s="168"/>
      <c r="M145" s="168"/>
      <c r="N145" s="168"/>
      <c r="O145" s="168"/>
      <c r="P145" s="241"/>
      <c r="Q145" s="168"/>
      <c r="R145" s="168"/>
      <c r="S145" s="168"/>
      <c r="T145" s="168"/>
      <c r="U145" s="168"/>
      <c r="V145" s="168"/>
      <c r="W145" s="168"/>
      <c r="X145" s="241"/>
    </row>
    <row r="146" spans="2:24" ht="20.25" customHeight="1" x14ac:dyDescent="0.15">
      <c r="F146" s="180" t="s">
        <v>375</v>
      </c>
      <c r="G146" s="392">
        <f>ROUND(G131*U146,3)</f>
        <v>-4.1000000000000002E-2</v>
      </c>
      <c r="H146" s="392"/>
      <c r="I146" s="168"/>
      <c r="J146" s="168"/>
      <c r="K146" s="168"/>
      <c r="L146" s="168"/>
      <c r="M146" s="168"/>
      <c r="N146" s="168"/>
      <c r="O146" s="168"/>
      <c r="P146" s="241"/>
      <c r="Q146" s="168"/>
      <c r="R146" s="168"/>
      <c r="S146" s="168"/>
      <c r="T146" s="273" t="s">
        <v>204</v>
      </c>
      <c r="U146" s="362">
        <v>0.81</v>
      </c>
      <c r="V146" s="362"/>
      <c r="W146" s="168"/>
      <c r="X146" s="241"/>
    </row>
    <row r="147" spans="2:24" ht="20.25" customHeight="1" x14ac:dyDescent="0.15">
      <c r="G147" s="168"/>
      <c r="H147" s="168"/>
      <c r="I147" s="168"/>
      <c r="J147" s="168"/>
      <c r="K147" s="168"/>
      <c r="L147" s="168"/>
      <c r="M147" s="168"/>
      <c r="N147" s="168"/>
      <c r="O147" s="168"/>
      <c r="P147" s="241"/>
      <c r="Q147" s="168"/>
      <c r="R147" s="168"/>
      <c r="S147" s="168"/>
      <c r="T147" s="168"/>
      <c r="U147" s="168"/>
      <c r="V147" s="168"/>
      <c r="W147" s="168"/>
      <c r="X147" s="241"/>
    </row>
    <row r="148" spans="2:24" ht="20.25" customHeight="1" x14ac:dyDescent="0.15">
      <c r="B148" s="172" t="s">
        <v>183</v>
      </c>
      <c r="F148" s="213" t="s">
        <v>250</v>
      </c>
      <c r="G148" s="168" t="s">
        <v>206</v>
      </c>
      <c r="H148" s="168"/>
      <c r="I148" s="168"/>
      <c r="J148" s="168"/>
      <c r="K148" s="168"/>
      <c r="L148" s="168"/>
      <c r="M148" s="168"/>
      <c r="N148" s="168"/>
      <c r="O148" s="168"/>
      <c r="P148" s="241"/>
      <c r="Q148" s="168"/>
      <c r="R148" s="168"/>
      <c r="S148" s="168"/>
      <c r="T148" s="273" t="s">
        <v>207</v>
      </c>
      <c r="U148" s="476">
        <f>H18</f>
        <v>0</v>
      </c>
      <c r="V148" s="476"/>
      <c r="W148" s="168" t="s">
        <v>182</v>
      </c>
      <c r="X148" s="241"/>
    </row>
    <row r="149" spans="2:24" ht="20.25" customHeight="1" x14ac:dyDescent="0.15">
      <c r="F149" s="213" t="s">
        <v>383</v>
      </c>
      <c r="G149" s="392">
        <f>G146*U148</f>
        <v>0</v>
      </c>
      <c r="H149" s="392"/>
      <c r="I149" s="362" t="s">
        <v>268</v>
      </c>
      <c r="J149" s="362"/>
      <c r="K149" s="168"/>
      <c r="L149" s="168"/>
      <c r="M149" s="168"/>
      <c r="N149" s="168"/>
      <c r="O149" s="168"/>
      <c r="P149" s="241"/>
      <c r="Q149" s="168"/>
      <c r="R149" s="168"/>
      <c r="S149" s="168"/>
      <c r="T149" s="168"/>
      <c r="U149" s="168"/>
      <c r="V149" s="168"/>
      <c r="W149" s="168"/>
      <c r="X149" s="241"/>
    </row>
    <row r="150" spans="2:24" ht="20.25" customHeight="1" x14ac:dyDescent="0.15">
      <c r="G150" s="168"/>
      <c r="H150" s="168"/>
      <c r="I150" s="168"/>
      <c r="J150" s="168"/>
      <c r="K150" s="168"/>
      <c r="L150" s="168"/>
      <c r="M150" s="168"/>
      <c r="N150" s="168"/>
      <c r="O150" s="168"/>
      <c r="P150" s="241"/>
      <c r="Q150" s="168"/>
      <c r="R150" s="168"/>
      <c r="S150" s="168"/>
      <c r="T150" s="168"/>
      <c r="U150" s="168"/>
      <c r="V150" s="168"/>
      <c r="W150" s="168"/>
      <c r="X150" s="241"/>
    </row>
    <row r="151" spans="2:24" ht="20.25" customHeight="1" x14ac:dyDescent="0.15">
      <c r="B151" s="172" t="s">
        <v>189</v>
      </c>
      <c r="F151" s="213" t="s">
        <v>372</v>
      </c>
      <c r="G151" s="168" t="s">
        <v>300</v>
      </c>
      <c r="H151" s="168"/>
      <c r="I151" s="168"/>
      <c r="J151" s="168"/>
      <c r="K151" s="168"/>
      <c r="L151" s="168"/>
      <c r="M151" s="168"/>
      <c r="N151" s="168"/>
      <c r="O151" s="168"/>
      <c r="P151" s="241"/>
      <c r="Q151" s="168"/>
      <c r="R151" s="168"/>
      <c r="S151" s="168"/>
      <c r="T151" s="168"/>
      <c r="U151" s="168"/>
      <c r="V151" s="168"/>
      <c r="W151" s="168"/>
      <c r="X151" s="241"/>
    </row>
    <row r="152" spans="2:24" ht="20.25" customHeight="1" x14ac:dyDescent="0.15">
      <c r="F152" s="213" t="s">
        <v>246</v>
      </c>
      <c r="G152" s="392">
        <f>ROUND(H155+H158,3)</f>
        <v>0</v>
      </c>
      <c r="H152" s="392"/>
      <c r="I152" s="362" t="s">
        <v>348</v>
      </c>
      <c r="J152" s="362"/>
      <c r="K152" s="168"/>
      <c r="L152" s="168"/>
      <c r="M152" s="168"/>
      <c r="N152" s="168"/>
      <c r="O152" s="168"/>
      <c r="P152" s="241"/>
      <c r="Q152" s="168"/>
      <c r="R152" s="168"/>
      <c r="S152" s="168"/>
      <c r="T152" s="168"/>
      <c r="U152" s="168"/>
      <c r="V152" s="168"/>
      <c r="W152" s="168"/>
      <c r="X152" s="241"/>
    </row>
    <row r="153" spans="2:24" ht="20.25" customHeight="1" x14ac:dyDescent="0.15">
      <c r="D153" s="172" t="s">
        <v>301</v>
      </c>
      <c r="G153" s="168"/>
      <c r="H153" s="168"/>
      <c r="I153" s="168"/>
      <c r="J153" s="168"/>
      <c r="K153" s="168"/>
      <c r="L153" s="168"/>
      <c r="M153" s="168"/>
      <c r="N153" s="168"/>
      <c r="O153" s="168"/>
      <c r="P153" s="241"/>
      <c r="Q153" s="168"/>
      <c r="R153" s="168"/>
      <c r="S153" s="168"/>
      <c r="T153" s="273" t="s">
        <v>302</v>
      </c>
      <c r="U153" s="482">
        <f>P26</f>
        <v>0</v>
      </c>
      <c r="V153" s="482"/>
      <c r="W153" s="168" t="s">
        <v>384</v>
      </c>
      <c r="X153" s="241"/>
    </row>
    <row r="154" spans="2:24" ht="20.25" customHeight="1" x14ac:dyDescent="0.15">
      <c r="G154" s="267" t="s">
        <v>385</v>
      </c>
      <c r="H154" s="358" t="s">
        <v>312</v>
      </c>
      <c r="I154" s="358"/>
      <c r="J154" s="358"/>
      <c r="K154" s="358"/>
      <c r="L154" s="358"/>
      <c r="M154" s="358"/>
      <c r="N154" s="358"/>
      <c r="O154" s="358"/>
      <c r="P154" s="358"/>
      <c r="Q154" s="358"/>
      <c r="R154" s="483" t="s">
        <v>304</v>
      </c>
      <c r="S154" s="483"/>
      <c r="T154" s="483"/>
      <c r="U154" s="482">
        <f>U26</f>
        <v>0</v>
      </c>
      <c r="V154" s="482"/>
      <c r="W154" s="168" t="s">
        <v>386</v>
      </c>
      <c r="X154" s="241"/>
    </row>
    <row r="155" spans="2:24" ht="20.25" customHeight="1" x14ac:dyDescent="0.15">
      <c r="G155" s="267" t="s">
        <v>244</v>
      </c>
      <c r="H155" s="392">
        <f>ROUND((U153/2)^2*3.14*U154*U155,3)</f>
        <v>0</v>
      </c>
      <c r="I155" s="392"/>
      <c r="J155" s="362" t="s">
        <v>271</v>
      </c>
      <c r="K155" s="362"/>
      <c r="L155" s="168"/>
      <c r="M155" s="168"/>
      <c r="N155" s="168"/>
      <c r="O155" s="168"/>
      <c r="P155" s="241"/>
      <c r="Q155" s="168"/>
      <c r="R155" s="168"/>
      <c r="S155" s="168"/>
      <c r="T155" s="273" t="s">
        <v>207</v>
      </c>
      <c r="U155" s="476">
        <f>H18</f>
        <v>0</v>
      </c>
      <c r="V155" s="476"/>
      <c r="W155" s="168" t="s">
        <v>182</v>
      </c>
      <c r="X155" s="241"/>
    </row>
    <row r="156" spans="2:24" ht="20.25" customHeight="1" x14ac:dyDescent="0.15">
      <c r="D156" s="172" t="s">
        <v>220</v>
      </c>
      <c r="G156" s="168"/>
      <c r="H156" s="168"/>
      <c r="I156" s="168"/>
      <c r="J156" s="168"/>
      <c r="K156" s="168"/>
      <c r="L156" s="168"/>
      <c r="M156" s="168"/>
      <c r="N156" s="168"/>
      <c r="O156" s="168"/>
      <c r="P156" s="241"/>
      <c r="Q156" s="168"/>
      <c r="R156" s="168"/>
      <c r="S156" s="168"/>
      <c r="T156" s="168"/>
      <c r="U156" s="168"/>
      <c r="V156" s="168"/>
      <c r="W156" s="168"/>
      <c r="X156" s="241"/>
    </row>
    <row r="157" spans="2:24" ht="20.25" customHeight="1" thickBot="1" x14ac:dyDescent="0.2">
      <c r="G157" s="213" t="s">
        <v>29</v>
      </c>
      <c r="H157" s="358" t="s">
        <v>313</v>
      </c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405"/>
    </row>
    <row r="158" spans="2:24" ht="20.25" customHeight="1" thickBot="1" x14ac:dyDescent="0.2">
      <c r="G158" s="213" t="s">
        <v>367</v>
      </c>
      <c r="H158" s="392">
        <f>ROUND((U138*U139*U139-J160)*U155*U158,3)</f>
        <v>0</v>
      </c>
      <c r="I158" s="392"/>
      <c r="J158" s="362" t="s">
        <v>265</v>
      </c>
      <c r="K158" s="362"/>
      <c r="P158" s="241"/>
      <c r="Q158" s="487" t="s">
        <v>222</v>
      </c>
      <c r="R158" s="483"/>
      <c r="S158" s="483"/>
      <c r="T158" s="485"/>
      <c r="U158" s="495">
        <v>0.4</v>
      </c>
      <c r="V158" s="496"/>
      <c r="W158" s="168"/>
      <c r="X158" s="241"/>
    </row>
    <row r="159" spans="2:24" ht="20.25" customHeight="1" x14ac:dyDescent="0.15">
      <c r="F159" s="172" t="s">
        <v>314</v>
      </c>
      <c r="G159" s="213"/>
      <c r="H159" s="213"/>
      <c r="I159" s="213" t="s">
        <v>244</v>
      </c>
      <c r="J159" s="172" t="s">
        <v>315</v>
      </c>
      <c r="P159" s="241"/>
      <c r="Q159" s="226"/>
      <c r="R159" s="168"/>
      <c r="S159" s="168"/>
      <c r="T159" s="168"/>
      <c r="U159" s="168"/>
      <c r="V159" s="168"/>
      <c r="W159" s="168"/>
      <c r="X159" s="241"/>
    </row>
    <row r="160" spans="2:24" ht="20.25" customHeight="1" x14ac:dyDescent="0.15">
      <c r="I160" s="213" t="s">
        <v>385</v>
      </c>
      <c r="J160" s="392">
        <f>ROUND((U153/2)^2*3.14*U154,3)</f>
        <v>0</v>
      </c>
      <c r="K160" s="392"/>
      <c r="L160" s="362" t="s">
        <v>387</v>
      </c>
      <c r="M160" s="362"/>
      <c r="P160" s="241"/>
      <c r="Q160" s="226"/>
      <c r="R160" s="168"/>
      <c r="S160" s="168"/>
      <c r="T160" s="168"/>
      <c r="U160" s="168"/>
      <c r="V160" s="168"/>
      <c r="W160" s="168"/>
      <c r="X160" s="241"/>
    </row>
    <row r="161" spans="1:24" ht="20.25" customHeight="1" x14ac:dyDescent="0.15">
      <c r="P161" s="241"/>
      <c r="Q161" s="226"/>
      <c r="R161" s="168"/>
      <c r="S161" s="168"/>
      <c r="T161" s="168"/>
      <c r="U161" s="168"/>
      <c r="V161" s="168"/>
      <c r="W161" s="168"/>
      <c r="X161" s="241"/>
    </row>
    <row r="162" spans="1:24" ht="20.25" customHeight="1" x14ac:dyDescent="0.15">
      <c r="P162" s="241"/>
      <c r="Q162" s="226"/>
      <c r="R162" s="168"/>
      <c r="S162" s="168"/>
      <c r="T162" s="168"/>
      <c r="U162" s="168"/>
      <c r="V162" s="168"/>
      <c r="W162" s="168"/>
      <c r="X162" s="241"/>
    </row>
    <row r="163" spans="1:24" ht="20.25" customHeight="1" x14ac:dyDescent="0.15">
      <c r="P163" s="241"/>
      <c r="Q163" s="270"/>
      <c r="R163" s="227"/>
      <c r="S163" s="227"/>
      <c r="T163" s="227"/>
      <c r="U163" s="227"/>
      <c r="V163" s="227"/>
      <c r="W163" s="227"/>
      <c r="X163" s="271"/>
    </row>
    <row r="164" spans="1:24" ht="20.25" customHeight="1" x14ac:dyDescent="0.15"/>
    <row r="165" spans="1:24" ht="20.25" customHeight="1" x14ac:dyDescent="0.15"/>
    <row r="166" spans="1:24" s="12" customFormat="1" ht="21" customHeight="1" x14ac:dyDescent="0.15">
      <c r="A166" s="384" t="s">
        <v>122</v>
      </c>
      <c r="B166" s="384"/>
      <c r="C166" s="384"/>
      <c r="D166" s="384"/>
      <c r="E166" s="384"/>
      <c r="F166" s="384"/>
      <c r="G166" s="384"/>
      <c r="H166" s="384"/>
      <c r="I166" s="384"/>
      <c r="J166" s="384"/>
      <c r="K166" s="384"/>
      <c r="L166" s="384"/>
      <c r="M166" s="385" t="s">
        <v>322</v>
      </c>
      <c r="N166" s="386"/>
      <c r="O166" s="386"/>
      <c r="P166" s="386"/>
      <c r="Q166" s="386"/>
      <c r="R166" s="387"/>
      <c r="S166" s="170"/>
      <c r="T166" s="170"/>
      <c r="U166" s="382"/>
      <c r="V166" s="382"/>
      <c r="W166" s="382"/>
      <c r="X166" s="382"/>
    </row>
    <row r="167" spans="1:24" ht="20.25" customHeight="1" x14ac:dyDescent="0.15"/>
    <row r="168" spans="1:24" ht="20.25" customHeight="1" x14ac:dyDescent="0.15">
      <c r="A168" s="12" t="s">
        <v>413</v>
      </c>
      <c r="G168" s="12" t="s">
        <v>317</v>
      </c>
    </row>
    <row r="169" spans="1:24" ht="20.25" customHeight="1" x14ac:dyDescent="0.15"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363" t="s">
        <v>295</v>
      </c>
      <c r="R169" s="364"/>
      <c r="S169" s="364"/>
      <c r="T169" s="364"/>
      <c r="U169" s="364"/>
      <c r="V169" s="364"/>
      <c r="W169" s="364"/>
      <c r="X169" s="365"/>
    </row>
    <row r="170" spans="1:24" ht="20.25" customHeight="1" x14ac:dyDescent="0.15">
      <c r="G170" s="168"/>
      <c r="H170" s="168"/>
      <c r="I170" s="168"/>
      <c r="J170" s="168"/>
      <c r="K170" s="168"/>
      <c r="L170" s="168"/>
      <c r="M170" s="168"/>
      <c r="N170" s="168"/>
      <c r="O170" s="168"/>
      <c r="P170" s="241"/>
      <c r="Q170" s="168"/>
      <c r="R170" s="168"/>
      <c r="S170" s="168"/>
      <c r="T170" s="168"/>
      <c r="U170" s="168"/>
      <c r="V170" s="168"/>
      <c r="W170" s="168"/>
      <c r="X170" s="241"/>
    </row>
    <row r="171" spans="1:24" ht="20.25" customHeight="1" x14ac:dyDescent="0.15">
      <c r="B171" s="178" t="s">
        <v>196</v>
      </c>
      <c r="C171" s="178"/>
      <c r="D171" s="178"/>
      <c r="F171" s="177" t="s">
        <v>367</v>
      </c>
      <c r="G171" s="208" t="s">
        <v>197</v>
      </c>
      <c r="H171" s="208"/>
      <c r="I171" s="208"/>
      <c r="J171" s="20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241"/>
    </row>
    <row r="172" spans="1:24" ht="20.25" customHeight="1" thickBot="1" x14ac:dyDescent="0.2">
      <c r="B172" s="178"/>
      <c r="C172" s="178"/>
      <c r="D172" s="178"/>
      <c r="F172" s="180" t="s">
        <v>368</v>
      </c>
      <c r="G172" s="392">
        <f>ROUND(U173*H178*3600/100,3)</f>
        <v>0.13600000000000001</v>
      </c>
      <c r="H172" s="392"/>
      <c r="I172" s="208"/>
      <c r="J172" s="208"/>
      <c r="K172" s="168"/>
      <c r="L172" s="168"/>
      <c r="M172" s="168"/>
      <c r="N172" s="168"/>
      <c r="O172" s="168"/>
      <c r="P172" s="168"/>
      <c r="Q172" s="226" t="s">
        <v>369</v>
      </c>
      <c r="R172" s="168"/>
      <c r="S172" s="168"/>
      <c r="T172" s="168"/>
      <c r="U172" s="168"/>
      <c r="V172" s="168"/>
      <c r="W172" s="168"/>
      <c r="X172" s="241"/>
    </row>
    <row r="173" spans="1:24" ht="20.25" customHeight="1" thickBot="1" x14ac:dyDescent="0.2"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226"/>
      <c r="R173" s="168"/>
      <c r="S173" s="168"/>
      <c r="T173" s="168"/>
      <c r="U173" s="495">
        <v>5.0000000000000001E-3</v>
      </c>
      <c r="V173" s="496"/>
      <c r="W173" s="168" t="s">
        <v>370</v>
      </c>
      <c r="X173" s="241"/>
    </row>
    <row r="174" spans="1:24" ht="20.25" customHeight="1" x14ac:dyDescent="0.15">
      <c r="G174" s="272"/>
      <c r="H174" s="168"/>
      <c r="I174" s="168"/>
      <c r="J174" s="168"/>
      <c r="K174" s="168"/>
      <c r="L174" s="168"/>
      <c r="M174" s="168"/>
      <c r="N174" s="168"/>
      <c r="O174" s="168"/>
      <c r="P174" s="168"/>
      <c r="Q174" s="397" t="s">
        <v>297</v>
      </c>
      <c r="R174" s="380"/>
      <c r="S174" s="380"/>
      <c r="T174" s="380"/>
      <c r="U174" s="380"/>
      <c r="V174" s="380"/>
      <c r="W174" s="380"/>
      <c r="X174" s="404"/>
    </row>
    <row r="175" spans="1:24" ht="20.25" customHeight="1" x14ac:dyDescent="0.15">
      <c r="G175" s="272"/>
      <c r="H175" s="168"/>
      <c r="I175" s="168"/>
      <c r="J175" s="168"/>
      <c r="K175" s="168"/>
      <c r="L175" s="168"/>
      <c r="M175" s="168"/>
      <c r="N175" s="168"/>
      <c r="O175" s="168"/>
      <c r="P175" s="168"/>
      <c r="Q175" s="397" t="s">
        <v>298</v>
      </c>
      <c r="R175" s="380"/>
      <c r="S175" s="380"/>
      <c r="T175" s="380"/>
      <c r="U175" s="380"/>
      <c r="V175" s="380"/>
      <c r="W175" s="380"/>
      <c r="X175" s="404"/>
    </row>
    <row r="176" spans="1:24" ht="20.25" customHeight="1" x14ac:dyDescent="0.15">
      <c r="D176" s="172" t="s">
        <v>371</v>
      </c>
      <c r="G176" s="168"/>
      <c r="H176" s="168"/>
      <c r="I176" s="168"/>
      <c r="J176" s="168"/>
      <c r="K176" s="168"/>
      <c r="L176" s="168"/>
      <c r="M176" s="168"/>
      <c r="N176" s="168"/>
      <c r="O176" s="168"/>
      <c r="P176" s="241"/>
      <c r="Q176" s="168"/>
      <c r="R176" s="168"/>
      <c r="S176" s="168"/>
      <c r="T176" s="168"/>
      <c r="U176" s="168"/>
      <c r="V176" s="168"/>
      <c r="W176" s="168"/>
      <c r="X176" s="241"/>
    </row>
    <row r="177" spans="2:24" ht="20.25" customHeight="1" x14ac:dyDescent="0.15">
      <c r="G177" s="272" t="s">
        <v>372</v>
      </c>
      <c r="H177" s="168" t="s">
        <v>198</v>
      </c>
      <c r="I177" s="168"/>
      <c r="J177" s="168"/>
      <c r="K177" s="168"/>
      <c r="L177" s="168"/>
      <c r="M177" s="168"/>
      <c r="N177" s="168"/>
      <c r="O177" s="168"/>
      <c r="P177" s="241"/>
      <c r="Q177" s="168"/>
      <c r="R177" s="168"/>
      <c r="S177" s="168"/>
      <c r="T177" s="273"/>
      <c r="U177" s="402"/>
      <c r="V177" s="402"/>
      <c r="W177" s="168"/>
      <c r="X177" s="241"/>
    </row>
    <row r="178" spans="2:24" ht="20.25" customHeight="1" x14ac:dyDescent="0.15">
      <c r="G178" s="272" t="s">
        <v>210</v>
      </c>
      <c r="H178" s="401">
        <f>ROUND(U177*U178+I180,3)</f>
        <v>0.753</v>
      </c>
      <c r="I178" s="401"/>
      <c r="J178" s="173" t="s">
        <v>275</v>
      </c>
      <c r="K178" s="168"/>
      <c r="L178" s="168"/>
      <c r="M178" s="168"/>
      <c r="N178" s="168"/>
      <c r="O178" s="168"/>
      <c r="P178" s="241"/>
      <c r="Q178" s="168"/>
      <c r="R178" s="168"/>
      <c r="S178" s="168"/>
      <c r="T178" s="273" t="s">
        <v>202</v>
      </c>
      <c r="U178" s="393">
        <f>K19</f>
        <v>0</v>
      </c>
      <c r="V178" s="393"/>
      <c r="W178" s="168"/>
      <c r="X178" s="241"/>
    </row>
    <row r="179" spans="2:24" ht="20.25" customHeight="1" x14ac:dyDescent="0.15">
      <c r="E179" s="212"/>
      <c r="F179" s="172" t="s">
        <v>199</v>
      </c>
      <c r="G179" s="273"/>
      <c r="H179" s="189" t="s">
        <v>373</v>
      </c>
      <c r="I179" s="274" t="s">
        <v>388</v>
      </c>
      <c r="J179" s="168"/>
      <c r="K179" s="168"/>
      <c r="L179" s="168"/>
      <c r="M179" s="168"/>
      <c r="N179" s="168"/>
      <c r="O179" s="168"/>
      <c r="P179" s="241"/>
      <c r="Q179" s="168"/>
      <c r="R179" s="168"/>
      <c r="S179" s="168"/>
      <c r="T179" s="273" t="s">
        <v>216</v>
      </c>
      <c r="U179" s="393">
        <f>N19</f>
        <v>0</v>
      </c>
      <c r="V179" s="393"/>
      <c r="W179" s="168"/>
      <c r="X179" s="241"/>
    </row>
    <row r="180" spans="2:24" ht="20.25" customHeight="1" x14ac:dyDescent="0.15">
      <c r="G180" s="168"/>
      <c r="H180" s="189" t="s">
        <v>377</v>
      </c>
      <c r="I180" s="392">
        <f>ROUND(-0.453*U179*U179+8.289*U179+0.753,3)</f>
        <v>0.753</v>
      </c>
      <c r="J180" s="392"/>
      <c r="K180" s="168"/>
      <c r="L180" s="168"/>
      <c r="M180" s="168"/>
      <c r="N180" s="168"/>
      <c r="O180" s="168"/>
      <c r="P180" s="241"/>
      <c r="Q180" s="168"/>
      <c r="R180" s="168"/>
      <c r="S180" s="168"/>
      <c r="T180" s="168"/>
      <c r="U180" s="168"/>
      <c r="V180" s="168"/>
      <c r="W180" s="168"/>
      <c r="X180" s="241"/>
    </row>
    <row r="181" spans="2:24" ht="20.25" customHeight="1" x14ac:dyDescent="0.15">
      <c r="E181" s="212"/>
      <c r="F181" s="172" t="s">
        <v>214</v>
      </c>
      <c r="G181" s="273"/>
      <c r="H181" s="189" t="s">
        <v>373</v>
      </c>
      <c r="I181" s="208" t="s">
        <v>389</v>
      </c>
      <c r="J181" s="168"/>
      <c r="K181" s="168"/>
      <c r="L181" s="168"/>
      <c r="M181" s="168"/>
      <c r="N181" s="168"/>
      <c r="O181" s="168"/>
      <c r="P181" s="241"/>
      <c r="Q181" s="168"/>
      <c r="R181" s="168"/>
      <c r="S181" s="168"/>
      <c r="T181" s="168"/>
      <c r="U181" s="168"/>
      <c r="V181" s="168"/>
      <c r="W181" s="168"/>
      <c r="X181" s="241"/>
    </row>
    <row r="182" spans="2:24" ht="20.25" customHeight="1" x14ac:dyDescent="0.15">
      <c r="G182" s="168"/>
      <c r="H182" s="189" t="s">
        <v>373</v>
      </c>
      <c r="I182" s="392">
        <f>ROUND(1.458*U179*U179+1.27*U179+0.362,3)</f>
        <v>0.36199999999999999</v>
      </c>
      <c r="J182" s="392"/>
      <c r="K182" s="168"/>
      <c r="L182" s="168"/>
      <c r="M182" s="168"/>
      <c r="N182" s="168"/>
      <c r="O182" s="168"/>
      <c r="P182" s="241"/>
      <c r="Q182" s="168"/>
      <c r="R182" s="168"/>
      <c r="S182" s="168"/>
      <c r="T182" s="168"/>
      <c r="U182" s="168"/>
      <c r="V182" s="168"/>
      <c r="W182" s="168"/>
      <c r="X182" s="241"/>
    </row>
    <row r="183" spans="2:24" ht="20.25" customHeight="1" x14ac:dyDescent="0.15">
      <c r="G183" s="168"/>
      <c r="H183" s="168"/>
      <c r="I183" s="168"/>
      <c r="J183" s="168"/>
      <c r="K183" s="168"/>
      <c r="L183" s="168"/>
      <c r="M183" s="168"/>
      <c r="N183" s="168"/>
      <c r="O183" s="168"/>
      <c r="P183" s="241"/>
      <c r="Q183" s="168"/>
      <c r="R183" s="168"/>
      <c r="S183" s="168"/>
      <c r="T183" s="168"/>
      <c r="U183" s="168"/>
      <c r="V183" s="168"/>
      <c r="W183" s="168"/>
      <c r="X183" s="241"/>
    </row>
    <row r="184" spans="2:24" ht="20.25" customHeight="1" x14ac:dyDescent="0.15">
      <c r="B184" s="172" t="s">
        <v>203</v>
      </c>
      <c r="F184" s="177" t="s">
        <v>375</v>
      </c>
      <c r="G184" s="208" t="s">
        <v>205</v>
      </c>
      <c r="H184" s="208"/>
      <c r="I184" s="168"/>
      <c r="J184" s="168"/>
      <c r="K184" s="168"/>
      <c r="L184" s="168"/>
      <c r="M184" s="168"/>
      <c r="N184" s="168"/>
      <c r="O184" s="168"/>
      <c r="P184" s="241"/>
      <c r="Q184" s="168"/>
      <c r="R184" s="168"/>
      <c r="S184" s="168"/>
      <c r="T184" s="168"/>
      <c r="U184" s="168"/>
      <c r="V184" s="168"/>
      <c r="W184" s="168"/>
      <c r="X184" s="241"/>
    </row>
    <row r="185" spans="2:24" ht="20.25" customHeight="1" x14ac:dyDescent="0.15">
      <c r="F185" s="180" t="s">
        <v>375</v>
      </c>
      <c r="G185" s="392">
        <f>ROUND(G172*U185,3)</f>
        <v>0.11</v>
      </c>
      <c r="H185" s="392"/>
      <c r="I185" s="168"/>
      <c r="J185" s="168"/>
      <c r="K185" s="168"/>
      <c r="L185" s="168"/>
      <c r="M185" s="168"/>
      <c r="N185" s="168"/>
      <c r="O185" s="168"/>
      <c r="P185" s="241"/>
      <c r="Q185" s="168"/>
      <c r="R185" s="168"/>
      <c r="S185" s="168"/>
      <c r="T185" s="273" t="s">
        <v>204</v>
      </c>
      <c r="U185" s="362">
        <v>0.81</v>
      </c>
      <c r="V185" s="362"/>
      <c r="W185" s="168"/>
      <c r="X185" s="241"/>
    </row>
    <row r="186" spans="2:24" ht="20.25" customHeight="1" x14ac:dyDescent="0.15">
      <c r="G186" s="168"/>
      <c r="H186" s="168"/>
      <c r="I186" s="168"/>
      <c r="J186" s="168"/>
      <c r="K186" s="168"/>
      <c r="L186" s="168"/>
      <c r="M186" s="168"/>
      <c r="N186" s="168"/>
      <c r="O186" s="168"/>
      <c r="P186" s="241"/>
      <c r="Q186" s="168"/>
      <c r="R186" s="168"/>
      <c r="S186" s="168"/>
      <c r="T186" s="168"/>
      <c r="U186" s="168"/>
      <c r="V186" s="168"/>
      <c r="W186" s="168"/>
      <c r="X186" s="241"/>
    </row>
    <row r="187" spans="2:24" ht="20.25" customHeight="1" x14ac:dyDescent="0.15">
      <c r="B187" s="172" t="s">
        <v>183</v>
      </c>
      <c r="F187" s="213" t="s">
        <v>250</v>
      </c>
      <c r="G187" s="168" t="s">
        <v>206</v>
      </c>
      <c r="H187" s="168"/>
      <c r="I187" s="168"/>
      <c r="J187" s="168"/>
      <c r="K187" s="168"/>
      <c r="L187" s="168"/>
      <c r="M187" s="168"/>
      <c r="N187" s="168"/>
      <c r="O187" s="168"/>
      <c r="P187" s="241"/>
      <c r="Q187" s="168"/>
      <c r="R187" s="168"/>
      <c r="S187" s="168"/>
      <c r="T187" s="273" t="s">
        <v>207</v>
      </c>
      <c r="U187" s="476">
        <f>H19</f>
        <v>0</v>
      </c>
      <c r="V187" s="476"/>
      <c r="W187" s="168" t="s">
        <v>182</v>
      </c>
      <c r="X187" s="241"/>
    </row>
    <row r="188" spans="2:24" ht="20.25" customHeight="1" x14ac:dyDescent="0.15">
      <c r="F188" s="213" t="s">
        <v>383</v>
      </c>
      <c r="G188" s="392">
        <f>G185*U187</f>
        <v>0</v>
      </c>
      <c r="H188" s="392"/>
      <c r="I188" s="362" t="s">
        <v>268</v>
      </c>
      <c r="J188" s="362"/>
      <c r="K188" s="168"/>
      <c r="L188" s="168"/>
      <c r="M188" s="168"/>
      <c r="N188" s="168"/>
      <c r="O188" s="168"/>
      <c r="P188" s="241"/>
      <c r="Q188" s="168"/>
      <c r="R188" s="168"/>
      <c r="S188" s="168"/>
      <c r="T188" s="168"/>
      <c r="U188" s="168"/>
      <c r="V188" s="168"/>
      <c r="W188" s="168"/>
      <c r="X188" s="241"/>
    </row>
    <row r="189" spans="2:24" ht="20.25" customHeight="1" x14ac:dyDescent="0.15">
      <c r="G189" s="168"/>
      <c r="H189" s="168"/>
      <c r="I189" s="168"/>
      <c r="J189" s="168"/>
      <c r="K189" s="168"/>
      <c r="L189" s="168"/>
      <c r="M189" s="168"/>
      <c r="N189" s="168"/>
      <c r="O189" s="168"/>
      <c r="P189" s="241"/>
      <c r="Q189" s="168"/>
      <c r="R189" s="168"/>
      <c r="S189" s="168"/>
      <c r="T189" s="168"/>
      <c r="U189" s="168"/>
      <c r="V189" s="168"/>
      <c r="W189" s="168"/>
      <c r="X189" s="241"/>
    </row>
    <row r="190" spans="2:24" ht="20.25" customHeight="1" x14ac:dyDescent="0.15">
      <c r="B190" s="172" t="s">
        <v>189</v>
      </c>
      <c r="F190" s="213" t="s">
        <v>372</v>
      </c>
      <c r="G190" s="168" t="s">
        <v>300</v>
      </c>
      <c r="H190" s="168"/>
      <c r="I190" s="168"/>
      <c r="J190" s="168"/>
      <c r="K190" s="168"/>
      <c r="L190" s="168"/>
      <c r="M190" s="168"/>
      <c r="N190" s="168"/>
      <c r="O190" s="168"/>
      <c r="P190" s="241"/>
      <c r="Q190" s="168"/>
      <c r="R190" s="168"/>
      <c r="S190" s="168"/>
      <c r="T190" s="168"/>
      <c r="U190" s="168"/>
      <c r="V190" s="168"/>
      <c r="W190" s="168"/>
      <c r="X190" s="241"/>
    </row>
    <row r="191" spans="2:24" ht="20.25" customHeight="1" x14ac:dyDescent="0.15">
      <c r="F191" s="213" t="s">
        <v>246</v>
      </c>
      <c r="G191" s="392">
        <f>ROUND(H194+H197,3)</f>
        <v>0</v>
      </c>
      <c r="H191" s="392"/>
      <c r="I191" s="362" t="s">
        <v>348</v>
      </c>
      <c r="J191" s="362"/>
      <c r="K191" s="168"/>
      <c r="L191" s="168"/>
      <c r="M191" s="168"/>
      <c r="N191" s="168"/>
      <c r="O191" s="168"/>
      <c r="P191" s="241"/>
      <c r="Q191" s="168"/>
      <c r="R191" s="168"/>
      <c r="S191" s="168"/>
      <c r="T191" s="168"/>
      <c r="U191" s="168"/>
      <c r="V191" s="168"/>
      <c r="W191" s="168"/>
      <c r="X191" s="241"/>
    </row>
    <row r="192" spans="2:24" ht="20.25" customHeight="1" x14ac:dyDescent="0.15">
      <c r="D192" s="172" t="s">
        <v>301</v>
      </c>
      <c r="G192" s="168"/>
      <c r="H192" s="168"/>
      <c r="I192" s="168"/>
      <c r="J192" s="168"/>
      <c r="K192" s="168"/>
      <c r="L192" s="168"/>
      <c r="M192" s="168"/>
      <c r="N192" s="168"/>
      <c r="O192" s="168"/>
      <c r="P192" s="241"/>
      <c r="Q192" s="168"/>
      <c r="R192" s="168"/>
      <c r="S192" s="168"/>
      <c r="T192" s="273" t="s">
        <v>302</v>
      </c>
      <c r="U192" s="482">
        <f>P27</f>
        <v>0</v>
      </c>
      <c r="V192" s="482"/>
      <c r="W192" s="168" t="s">
        <v>384</v>
      </c>
      <c r="X192" s="241"/>
    </row>
    <row r="193" spans="4:24" ht="20.25" customHeight="1" x14ac:dyDescent="0.15">
      <c r="G193" s="267" t="s">
        <v>385</v>
      </c>
      <c r="H193" s="358" t="s">
        <v>312</v>
      </c>
      <c r="I193" s="358"/>
      <c r="J193" s="358"/>
      <c r="K193" s="358"/>
      <c r="L193" s="358"/>
      <c r="M193" s="358"/>
      <c r="N193" s="358"/>
      <c r="O193" s="358"/>
      <c r="P193" s="358"/>
      <c r="Q193" s="358"/>
      <c r="R193" s="483" t="s">
        <v>304</v>
      </c>
      <c r="S193" s="483"/>
      <c r="T193" s="483"/>
      <c r="U193" s="482">
        <f>U27</f>
        <v>0</v>
      </c>
      <c r="V193" s="482"/>
      <c r="W193" s="168" t="s">
        <v>386</v>
      </c>
      <c r="X193" s="241"/>
    </row>
    <row r="194" spans="4:24" ht="20.25" customHeight="1" x14ac:dyDescent="0.15">
      <c r="G194" s="267" t="s">
        <v>244</v>
      </c>
      <c r="H194" s="392">
        <f>ROUND((U192/2)^2*3.14*U193*U194,3)</f>
        <v>0</v>
      </c>
      <c r="I194" s="392"/>
      <c r="J194" s="362" t="s">
        <v>271</v>
      </c>
      <c r="K194" s="362"/>
      <c r="L194" s="168"/>
      <c r="M194" s="168"/>
      <c r="N194" s="168"/>
      <c r="O194" s="168"/>
      <c r="P194" s="241"/>
      <c r="Q194" s="168"/>
      <c r="R194" s="168"/>
      <c r="S194" s="168"/>
      <c r="T194" s="273" t="s">
        <v>207</v>
      </c>
      <c r="U194" s="476">
        <f>H19</f>
        <v>0</v>
      </c>
      <c r="V194" s="476"/>
      <c r="W194" s="168" t="s">
        <v>182</v>
      </c>
      <c r="X194" s="241"/>
    </row>
    <row r="195" spans="4:24" ht="20.25" customHeight="1" x14ac:dyDescent="0.15">
      <c r="D195" s="172" t="s">
        <v>220</v>
      </c>
      <c r="G195" s="168"/>
      <c r="H195" s="168"/>
      <c r="I195" s="168"/>
      <c r="J195" s="168"/>
      <c r="K195" s="168"/>
      <c r="L195" s="168"/>
      <c r="M195" s="168"/>
      <c r="N195" s="168"/>
      <c r="O195" s="168"/>
      <c r="P195" s="241"/>
      <c r="Q195" s="168"/>
      <c r="R195" s="168"/>
      <c r="S195" s="168"/>
      <c r="T195" s="168"/>
      <c r="U195" s="168"/>
      <c r="V195" s="168"/>
      <c r="W195" s="168"/>
      <c r="X195" s="241"/>
    </row>
    <row r="196" spans="4:24" ht="20.25" customHeight="1" thickBot="1" x14ac:dyDescent="0.2">
      <c r="G196" s="267" t="s">
        <v>29</v>
      </c>
      <c r="H196" s="358" t="s">
        <v>313</v>
      </c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405"/>
    </row>
    <row r="197" spans="4:24" ht="20.25" customHeight="1" thickBot="1" x14ac:dyDescent="0.2">
      <c r="G197" s="213" t="s">
        <v>367</v>
      </c>
      <c r="H197" s="392">
        <f>ROUND((U178*U179*U179-J199)*U194*U197,3)</f>
        <v>0</v>
      </c>
      <c r="I197" s="392"/>
      <c r="J197" s="362" t="s">
        <v>265</v>
      </c>
      <c r="K197" s="362"/>
      <c r="P197" s="241"/>
      <c r="Q197" s="487" t="s">
        <v>222</v>
      </c>
      <c r="R197" s="483"/>
      <c r="S197" s="483"/>
      <c r="T197" s="485"/>
      <c r="U197" s="495">
        <v>0.4</v>
      </c>
      <c r="V197" s="496"/>
      <c r="W197" s="168"/>
      <c r="X197" s="241"/>
    </row>
    <row r="198" spans="4:24" ht="20.25" customHeight="1" x14ac:dyDescent="0.15">
      <c r="F198" s="172" t="s">
        <v>314</v>
      </c>
      <c r="G198" s="213"/>
      <c r="H198" s="213"/>
      <c r="I198" s="213" t="s">
        <v>244</v>
      </c>
      <c r="J198" s="172" t="s">
        <v>315</v>
      </c>
      <c r="P198" s="241"/>
      <c r="Q198" s="226"/>
      <c r="R198" s="168"/>
      <c r="S198" s="168"/>
      <c r="T198" s="168"/>
      <c r="U198" s="168"/>
      <c r="V198" s="168"/>
      <c r="W198" s="168"/>
      <c r="X198" s="241"/>
    </row>
    <row r="199" spans="4:24" ht="20.25" customHeight="1" x14ac:dyDescent="0.15">
      <c r="I199" s="213" t="s">
        <v>385</v>
      </c>
      <c r="J199" s="392">
        <f>ROUND((U192/2)^2*3.14*U193,3)</f>
        <v>0</v>
      </c>
      <c r="K199" s="392"/>
      <c r="L199" s="362" t="s">
        <v>387</v>
      </c>
      <c r="M199" s="362"/>
      <c r="P199" s="241"/>
      <c r="Q199" s="226"/>
      <c r="R199" s="168"/>
      <c r="S199" s="168"/>
      <c r="T199" s="168"/>
      <c r="U199" s="168"/>
      <c r="V199" s="168"/>
      <c r="W199" s="168"/>
      <c r="X199" s="241"/>
    </row>
    <row r="200" spans="4:24" ht="20.25" customHeight="1" x14ac:dyDescent="0.15">
      <c r="P200" s="241"/>
      <c r="Q200" s="226"/>
      <c r="R200" s="168"/>
      <c r="S200" s="168"/>
      <c r="T200" s="168"/>
      <c r="U200" s="168"/>
      <c r="V200" s="168"/>
      <c r="W200" s="168"/>
      <c r="X200" s="241"/>
    </row>
    <row r="201" spans="4:24" ht="20.25" customHeight="1" x14ac:dyDescent="0.15">
      <c r="P201" s="241"/>
      <c r="Q201" s="226"/>
      <c r="R201" s="168"/>
      <c r="S201" s="168"/>
      <c r="T201" s="168"/>
      <c r="U201" s="168"/>
      <c r="V201" s="168"/>
      <c r="W201" s="168"/>
      <c r="X201" s="241"/>
    </row>
    <row r="202" spans="4:24" ht="20.25" customHeight="1" x14ac:dyDescent="0.15">
      <c r="P202" s="241"/>
      <c r="Q202" s="226"/>
      <c r="R202" s="168"/>
      <c r="S202" s="168"/>
      <c r="T202" s="168"/>
      <c r="U202" s="168"/>
      <c r="V202" s="168"/>
      <c r="W202" s="168"/>
      <c r="X202" s="241"/>
    </row>
    <row r="203" spans="4:24" ht="20.25" customHeight="1" x14ac:dyDescent="0.15">
      <c r="P203" s="241"/>
      <c r="Q203" s="226"/>
      <c r="R203" s="168"/>
      <c r="S203" s="168"/>
      <c r="T203" s="168"/>
      <c r="U203" s="168"/>
      <c r="V203" s="168"/>
      <c r="W203" s="168"/>
      <c r="X203" s="241"/>
    </row>
    <row r="204" spans="4:24" ht="20.25" customHeight="1" x14ac:dyDescent="0.15">
      <c r="P204" s="241"/>
      <c r="Q204" s="270"/>
      <c r="R204" s="227"/>
      <c r="S204" s="227"/>
      <c r="T204" s="227"/>
      <c r="U204" s="227"/>
      <c r="V204" s="227"/>
      <c r="W204" s="227"/>
      <c r="X204" s="271"/>
    </row>
    <row r="205" spans="4:24" ht="20.25" customHeight="1" x14ac:dyDescent="0.15"/>
    <row r="206" spans="4:24" ht="20.25" customHeight="1" x14ac:dyDescent="0.15"/>
  </sheetData>
  <mergeCells count="212">
    <mergeCell ref="G131:H131"/>
    <mergeCell ref="U132:V132"/>
    <mergeCell ref="H137:I137"/>
    <mergeCell ref="Q139:T139"/>
    <mergeCell ref="Q133:X133"/>
    <mergeCell ref="H110:I110"/>
    <mergeCell ref="I141:J141"/>
    <mergeCell ref="U139:V139"/>
    <mergeCell ref="I139:J139"/>
    <mergeCell ref="U138:V138"/>
    <mergeCell ref="U114:V114"/>
    <mergeCell ref="J110:K110"/>
    <mergeCell ref="A125:L125"/>
    <mergeCell ref="Q15:T15"/>
    <mergeCell ref="S16:T16"/>
    <mergeCell ref="S17:T17"/>
    <mergeCell ref="S18:T18"/>
    <mergeCell ref="Q16:R16"/>
    <mergeCell ref="Q17:R17"/>
    <mergeCell ref="W16:X16"/>
    <mergeCell ref="U17:V17"/>
    <mergeCell ref="W17:X17"/>
    <mergeCell ref="U16:V16"/>
    <mergeCell ref="Q18:R18"/>
    <mergeCell ref="M37:N37"/>
    <mergeCell ref="O37:X37"/>
    <mergeCell ref="B38:C38"/>
    <mergeCell ref="M38:N38"/>
    <mergeCell ref="B39:L39"/>
    <mergeCell ref="A43:L43"/>
    <mergeCell ref="H15:J15"/>
    <mergeCell ref="H18:I18"/>
    <mergeCell ref="H16:I16"/>
    <mergeCell ref="H17:I17"/>
    <mergeCell ref="B37:C37"/>
    <mergeCell ref="D37:L37"/>
    <mergeCell ref="C25:M25"/>
    <mergeCell ref="A15:G15"/>
    <mergeCell ref="A16:G16"/>
    <mergeCell ref="A17:G17"/>
    <mergeCell ref="E19:G19"/>
    <mergeCell ref="S19:T19"/>
    <mergeCell ref="N16:P16"/>
    <mergeCell ref="H19:I19"/>
    <mergeCell ref="Q19:R19"/>
    <mergeCell ref="N18:O18"/>
    <mergeCell ref="N19:O19"/>
    <mergeCell ref="N17:O17"/>
    <mergeCell ref="U56:V56"/>
    <mergeCell ref="U55:V55"/>
    <mergeCell ref="U43:X43"/>
    <mergeCell ref="W19:X19"/>
    <mergeCell ref="U19:V19"/>
    <mergeCell ref="W20:X20"/>
    <mergeCell ref="U23:V23"/>
    <mergeCell ref="W21:X21"/>
    <mergeCell ref="W22:X22"/>
    <mergeCell ref="U20:V20"/>
    <mergeCell ref="U21:V21"/>
    <mergeCell ref="U22:V22"/>
    <mergeCell ref="W23:X23"/>
    <mergeCell ref="G58:H58"/>
    <mergeCell ref="U58:V58"/>
    <mergeCell ref="I61:J61"/>
    <mergeCell ref="U60:V60"/>
    <mergeCell ref="G61:H61"/>
    <mergeCell ref="U63:V63"/>
    <mergeCell ref="U1:X1"/>
    <mergeCell ref="A1:L1"/>
    <mergeCell ref="M1:R1"/>
    <mergeCell ref="Q23:R23"/>
    <mergeCell ref="W18:X18"/>
    <mergeCell ref="U18:V18"/>
    <mergeCell ref="K15:M15"/>
    <mergeCell ref="N15:P15"/>
    <mergeCell ref="K16:L16"/>
    <mergeCell ref="K17:L17"/>
    <mergeCell ref="N25:O25"/>
    <mergeCell ref="Q51:X51"/>
    <mergeCell ref="U50:V50"/>
    <mergeCell ref="H55:I55"/>
    <mergeCell ref="U54:V54"/>
    <mergeCell ref="C26:M26"/>
    <mergeCell ref="C27:M27"/>
    <mergeCell ref="N26:O26"/>
    <mergeCell ref="S35:T35"/>
    <mergeCell ref="I98:J98"/>
    <mergeCell ref="U97:V97"/>
    <mergeCell ref="A3:X3"/>
    <mergeCell ref="A19:D19"/>
    <mergeCell ref="M43:R43"/>
    <mergeCell ref="U15:X15"/>
    <mergeCell ref="A18:D18"/>
    <mergeCell ref="H96:I96"/>
    <mergeCell ref="U96:V96"/>
    <mergeCell ref="G64:H64"/>
    <mergeCell ref="I64:J64"/>
    <mergeCell ref="M84:R84"/>
    <mergeCell ref="E32:G32"/>
    <mergeCell ref="H32:I32"/>
    <mergeCell ref="Q46:X46"/>
    <mergeCell ref="Q52:X52"/>
    <mergeCell ref="G49:H49"/>
    <mergeCell ref="O32:Q32"/>
    <mergeCell ref="R32:S32"/>
    <mergeCell ref="G90:H90"/>
    <mergeCell ref="U91:V91"/>
    <mergeCell ref="U95:V95"/>
    <mergeCell ref="Q92:X92"/>
    <mergeCell ref="E18:G18"/>
    <mergeCell ref="P27:Q27"/>
    <mergeCell ref="S26:T26"/>
    <mergeCell ref="U26:V26"/>
    <mergeCell ref="U27:V27"/>
    <mergeCell ref="S27:T27"/>
    <mergeCell ref="A23:P23"/>
    <mergeCell ref="A20:G20"/>
    <mergeCell ref="A21:G21"/>
    <mergeCell ref="A22:G22"/>
    <mergeCell ref="N27:O27"/>
    <mergeCell ref="P26:Q26"/>
    <mergeCell ref="K18:L18"/>
    <mergeCell ref="K19:L19"/>
    <mergeCell ref="S20:T20"/>
    <mergeCell ref="S21:T21"/>
    <mergeCell ref="S22:T22"/>
    <mergeCell ref="Q20:R20"/>
    <mergeCell ref="Q21:R21"/>
    <mergeCell ref="Q22:R22"/>
    <mergeCell ref="S23:T23"/>
    <mergeCell ref="H20:I20"/>
    <mergeCell ref="H22:I22"/>
    <mergeCell ref="H21:I21"/>
    <mergeCell ref="G185:H185"/>
    <mergeCell ref="U185:V185"/>
    <mergeCell ref="G172:H172"/>
    <mergeCell ref="U173:V173"/>
    <mergeCell ref="Q174:X174"/>
    <mergeCell ref="Q175:X175"/>
    <mergeCell ref="I182:J182"/>
    <mergeCell ref="U154:V154"/>
    <mergeCell ref="H155:I155"/>
    <mergeCell ref="J155:K155"/>
    <mergeCell ref="U155:V155"/>
    <mergeCell ref="U179:V179"/>
    <mergeCell ref="M166:R166"/>
    <mergeCell ref="Q169:X169"/>
    <mergeCell ref="U177:V177"/>
    <mergeCell ref="H178:I178"/>
    <mergeCell ref="J199:K199"/>
    <mergeCell ref="L199:M199"/>
    <mergeCell ref="H193:Q193"/>
    <mergeCell ref="R193:T193"/>
    <mergeCell ref="U193:V193"/>
    <mergeCell ref="H194:I194"/>
    <mergeCell ref="J194:K194"/>
    <mergeCell ref="U194:V194"/>
    <mergeCell ref="I191:J191"/>
    <mergeCell ref="U192:V192"/>
    <mergeCell ref="H196:X196"/>
    <mergeCell ref="H197:I197"/>
    <mergeCell ref="J197:K197"/>
    <mergeCell ref="Q197:T197"/>
    <mergeCell ref="U197:V197"/>
    <mergeCell ref="U187:V187"/>
    <mergeCell ref="G188:H188"/>
    <mergeCell ref="I188:J188"/>
    <mergeCell ref="G191:H191"/>
    <mergeCell ref="I180:J180"/>
    <mergeCell ref="U84:X84"/>
    <mergeCell ref="Q87:X87"/>
    <mergeCell ref="U166:X166"/>
    <mergeCell ref="Q158:T158"/>
    <mergeCell ref="U158:V158"/>
    <mergeCell ref="U125:X125"/>
    <mergeCell ref="M125:R125"/>
    <mergeCell ref="Q114:T114"/>
    <mergeCell ref="A166:L166"/>
    <mergeCell ref="U178:V178"/>
    <mergeCell ref="Q93:X93"/>
    <mergeCell ref="A84:L84"/>
    <mergeCell ref="G101:H101"/>
    <mergeCell ref="U101:V101"/>
    <mergeCell ref="U103:V103"/>
    <mergeCell ref="G104:H104"/>
    <mergeCell ref="I104:J104"/>
    <mergeCell ref="G107:H107"/>
    <mergeCell ref="I107:J107"/>
    <mergeCell ref="U109:V109"/>
    <mergeCell ref="Q138:T138"/>
    <mergeCell ref="Q128:X128"/>
    <mergeCell ref="Q134:X134"/>
    <mergeCell ref="J160:K160"/>
    <mergeCell ref="L160:M160"/>
    <mergeCell ref="H157:X157"/>
    <mergeCell ref="H158:I158"/>
    <mergeCell ref="J158:K158"/>
    <mergeCell ref="U153:V153"/>
    <mergeCell ref="H154:Q154"/>
    <mergeCell ref="R154:T154"/>
    <mergeCell ref="G146:H146"/>
    <mergeCell ref="U146:V146"/>
    <mergeCell ref="U148:V148"/>
    <mergeCell ref="G149:H149"/>
    <mergeCell ref="I149:J149"/>
    <mergeCell ref="G152:H152"/>
    <mergeCell ref="I152:J152"/>
    <mergeCell ref="H113:I113"/>
    <mergeCell ref="J113:K113"/>
    <mergeCell ref="H112:X112"/>
    <mergeCell ref="U110:V110"/>
    <mergeCell ref="I143:J143"/>
  </mergeCells>
  <phoneticPr fontId="2"/>
  <printOptions horizontalCentered="1"/>
  <pageMargins left="0.55118110236220474" right="0.35433070866141736" top="0.51181102362204722" bottom="0.43307086614173229" header="0.27559055118110237" footer="0.35433070866141736"/>
  <pageSetup paperSize="9" firstPageNumber="17" fitToWidth="0" orientation="portrait" r:id="rId1"/>
  <headerFooter alignWithMargins="0"/>
  <rowBreaks count="4" manualBreakCount="4">
    <brk id="42" max="23" man="1"/>
    <brk id="83" max="16383" man="1"/>
    <brk id="124" max="23" man="1"/>
    <brk id="16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１条件記入、流下能力算定</vt:lpstr>
      <vt:lpstr>２判定（市街化区域）</vt:lpstr>
      <vt:lpstr>３抑制対策（市街化区域）</vt:lpstr>
      <vt:lpstr>２判定（調整区域）</vt:lpstr>
      <vt:lpstr>３抑制対策（調整区域）</vt:lpstr>
      <vt:lpstr>'１条件記入、流下能力算定'!Print_Area</vt:lpstr>
      <vt:lpstr>'２判定（市街化区域）'!Print_Area</vt:lpstr>
      <vt:lpstr>'２判定（調整区域）'!Print_Area</vt:lpstr>
      <vt:lpstr>'３抑制対策（市街化区域）'!Print_Area</vt:lpstr>
      <vt:lpstr>'３抑制対策（調整区域）'!Print_Area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oa</cp:lastModifiedBy>
  <cp:lastPrinted>2023-02-27T11:13:21Z</cp:lastPrinted>
  <dcterms:created xsi:type="dcterms:W3CDTF">2006-04-28T07:53:45Z</dcterms:created>
  <dcterms:modified xsi:type="dcterms:W3CDTF">2023-03-16T04:56:09Z</dcterms:modified>
</cp:coreProperties>
</file>